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7. Mustard oil production\"/>
    </mc:Choice>
  </mc:AlternateContent>
  <xr:revisionPtr revIDLastSave="0" documentId="13_ncr:1_{825CE1CA-DD5F-41B9-8235-38A47EADAE41}" xr6:coauthVersionLast="47" xr6:coauthVersionMax="47" xr10:uidLastSave="{00000000-0000-0000-0000-000000000000}"/>
  <bookViews>
    <workbookView xWindow="-110" yWindow="-110" windowWidth="19420" windowHeight="11020" firstSheet="4" activeTab="5" xr2:uid="{8B0049CE-B79C-4EF0-8FA8-FBBF9BECEBD1}"/>
  </bookViews>
  <sheets>
    <sheet name="Contents" sheetId="21" r:id="rId1"/>
    <sheet name="Ann 1" sheetId="1" r:id="rId2"/>
    <sheet name="Ann 2" sheetId="2" r:id="rId3"/>
    <sheet name="Ann 3" sheetId="3" r:id="rId4"/>
    <sheet name="Ann 4" sheetId="4" r:id="rId5"/>
    <sheet name="Ann 5" sheetId="7" r:id="rId6"/>
    <sheet name="Ann 8" sheetId="9" r:id="rId7"/>
    <sheet name="Ann 9" sheetId="10" r:id="rId8"/>
    <sheet name="Ann 10" sheetId="13" r:id="rId9"/>
    <sheet name="Ann 11" sheetId="11" r:id="rId10"/>
    <sheet name="Ann 12" sheetId="12" state="hidden" r:id="rId11"/>
    <sheet name="Ann 13" sheetId="14" r:id="rId12"/>
    <sheet name="Ann 14" sheetId="18" r:id="rId13"/>
    <sheet name="Budgets" sheetId="19" r:id="rId14"/>
    <sheet name="For word file" sheetId="20" state="hidden" r:id="rId15"/>
    <sheet name="Assumptions" sheetId="22" r:id="rId16"/>
    <sheet name="Sheet1" sheetId="15" state="hidden"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3" l="1"/>
  <c r="G18" i="3"/>
  <c r="E16" i="11"/>
  <c r="G8" i="3"/>
  <c r="D5" i="22"/>
  <c r="E4" i="22"/>
  <c r="E5" i="22" s="1"/>
  <c r="F4" i="22" l="1"/>
  <c r="C22" i="11"/>
  <c r="C23" i="11" s="1"/>
  <c r="D22" i="11"/>
  <c r="D23" i="11" s="1"/>
  <c r="D21" i="11"/>
  <c r="C21" i="11"/>
  <c r="B16" i="19"/>
  <c r="G12" i="3"/>
  <c r="G11" i="3"/>
  <c r="C11" i="1"/>
  <c r="B48" i="19"/>
  <c r="F5" i="22" l="1"/>
  <c r="G4" i="22"/>
  <c r="D46" i="4"/>
  <c r="D47" i="4"/>
  <c r="B4" i="18"/>
  <c r="G4" i="3"/>
  <c r="C7" i="2"/>
  <c r="A6" i="21"/>
  <c r="D48" i="4" l="1"/>
  <c r="G5" i="22"/>
  <c r="H4" i="22"/>
  <c r="E28" i="4"/>
  <c r="F28" i="4"/>
  <c r="G28" i="4"/>
  <c r="H28" i="4"/>
  <c r="I28" i="4"/>
  <c r="J28" i="4"/>
  <c r="K28" i="4"/>
  <c r="D28" i="4"/>
  <c r="C28" i="4"/>
  <c r="D9" i="11" s="1"/>
  <c r="G5" i="3"/>
  <c r="A13" i="21"/>
  <c r="A11" i="21"/>
  <c r="A10" i="21"/>
  <c r="A9" i="21"/>
  <c r="K47" i="7"/>
  <c r="J47" i="7"/>
  <c r="D23" i="7"/>
  <c r="E23" i="7"/>
  <c r="F23" i="7"/>
  <c r="G23" i="7"/>
  <c r="H23" i="7"/>
  <c r="I23" i="7"/>
  <c r="I34" i="7" s="1"/>
  <c r="J23" i="7"/>
  <c r="J34" i="7" s="1"/>
  <c r="K23" i="7"/>
  <c r="K34" i="7" s="1"/>
  <c r="C23" i="7"/>
  <c r="E8" i="9"/>
  <c r="A14" i="21"/>
  <c r="H5" i="22" l="1"/>
  <c r="I4" i="22"/>
  <c r="A16" i="21"/>
  <c r="A15" i="21"/>
  <c r="A12" i="21"/>
  <c r="A8" i="21"/>
  <c r="A7" i="21"/>
  <c r="A5" i="21"/>
  <c r="A4" i="21"/>
  <c r="C22" i="18"/>
  <c r="K22" i="18"/>
  <c r="J22" i="18"/>
  <c r="I22" i="18"/>
  <c r="H22" i="18"/>
  <c r="G22" i="18"/>
  <c r="F22" i="18"/>
  <c r="E22" i="18"/>
  <c r="D22" i="18"/>
  <c r="I5" i="22" l="1"/>
  <c r="J4" i="22"/>
  <c r="C43" i="4"/>
  <c r="C8" i="4" s="1"/>
  <c r="G23" i="3"/>
  <c r="I41" i="7"/>
  <c r="J41" i="7"/>
  <c r="K41" i="7"/>
  <c r="J5" i="22" l="1"/>
  <c r="K4" i="22"/>
  <c r="C19" i="1"/>
  <c r="G25" i="3"/>
  <c r="D42" i="4"/>
  <c r="D43" i="4" s="1"/>
  <c r="D8" i="4" s="1"/>
  <c r="B18" i="19"/>
  <c r="B21" i="19" l="1"/>
  <c r="E6" i="19" s="1"/>
  <c r="D24" i="11"/>
  <c r="K5" i="22"/>
  <c r="L4" i="22"/>
  <c r="L5" i="22" s="1"/>
  <c r="G6" i="19"/>
  <c r="I6" i="19"/>
  <c r="I7" i="19"/>
  <c r="J6" i="19"/>
  <c r="H6" i="19"/>
  <c r="C6" i="19"/>
  <c r="B6" i="19"/>
  <c r="C7" i="19"/>
  <c r="D6" i="19"/>
  <c r="E42" i="4"/>
  <c r="E43" i="4" s="1"/>
  <c r="E8" i="4" s="1"/>
  <c r="C24" i="11" l="1"/>
  <c r="E7" i="19"/>
  <c r="E36" i="19" s="1"/>
  <c r="G7" i="19"/>
  <c r="H7" i="19"/>
  <c r="H36" i="19" s="1"/>
  <c r="D7" i="19"/>
  <c r="F7" i="19"/>
  <c r="B7" i="19"/>
  <c r="C7" i="4" s="1"/>
  <c r="J7" i="19"/>
  <c r="K18" i="4" s="1"/>
  <c r="F6" i="19"/>
  <c r="G18" i="4"/>
  <c r="D8" i="19"/>
  <c r="E18" i="4"/>
  <c r="E8" i="19"/>
  <c r="E10" i="19" s="1"/>
  <c r="C8" i="19"/>
  <c r="D18" i="4"/>
  <c r="J18" i="4"/>
  <c r="E11" i="4"/>
  <c r="H18" i="4"/>
  <c r="B27" i="19"/>
  <c r="B28" i="19" s="1"/>
  <c r="B8" i="19"/>
  <c r="I36" i="19"/>
  <c r="J7" i="4"/>
  <c r="J9" i="4" s="1"/>
  <c r="E9" i="19"/>
  <c r="G36" i="19"/>
  <c r="H7" i="4"/>
  <c r="H9" i="4" s="1"/>
  <c r="E7" i="4"/>
  <c r="E9" i="4" s="1"/>
  <c r="D9" i="19"/>
  <c r="D36" i="19"/>
  <c r="F36" i="19"/>
  <c r="G7" i="4"/>
  <c r="G9" i="4" s="1"/>
  <c r="C9" i="19"/>
  <c r="C36" i="19"/>
  <c r="D7" i="4"/>
  <c r="D9" i="4" s="1"/>
  <c r="F42" i="4"/>
  <c r="F43" i="4" s="1"/>
  <c r="F8" i="4" s="1"/>
  <c r="F27" i="19"/>
  <c r="G27" i="19"/>
  <c r="D27" i="19"/>
  <c r="H27" i="19"/>
  <c r="I27" i="19"/>
  <c r="J27" i="19"/>
  <c r="E27" i="19"/>
  <c r="C27" i="19"/>
  <c r="C9" i="4" l="1"/>
  <c r="C11" i="4" s="1"/>
  <c r="F18" i="4"/>
  <c r="I7" i="4"/>
  <c r="I9" i="4" s="1"/>
  <c r="B9" i="19"/>
  <c r="I18" i="4"/>
  <c r="F7" i="4"/>
  <c r="F9" i="4" s="1"/>
  <c r="F11" i="4" s="1"/>
  <c r="C18" i="4"/>
  <c r="K7" i="4"/>
  <c r="K9" i="4" s="1"/>
  <c r="C30" i="11"/>
  <c r="D30" i="11" s="1"/>
  <c r="J36" i="19"/>
  <c r="B36" i="19"/>
  <c r="B37" i="19" s="1"/>
  <c r="E19" i="4"/>
  <c r="D11" i="4"/>
  <c r="D19" i="4"/>
  <c r="D29" i="19"/>
  <c r="C19" i="4"/>
  <c r="D10" i="19"/>
  <c r="C29" i="19"/>
  <c r="F19" i="4"/>
  <c r="E29" i="19"/>
  <c r="C10" i="19"/>
  <c r="F24" i="7"/>
  <c r="D7" i="11"/>
  <c r="D8" i="11" s="1"/>
  <c r="H24" i="7"/>
  <c r="J24" i="7"/>
  <c r="D38" i="19"/>
  <c r="D11" i="19"/>
  <c r="C38" i="19"/>
  <c r="C11" i="19"/>
  <c r="B38" i="19"/>
  <c r="B39" i="19" s="1"/>
  <c r="B11" i="19"/>
  <c r="C24" i="7"/>
  <c r="B10" i="19"/>
  <c r="B29" i="19"/>
  <c r="E38" i="19"/>
  <c r="E11" i="19"/>
  <c r="G24" i="7"/>
  <c r="E24" i="7"/>
  <c r="D24" i="7"/>
  <c r="G42" i="4"/>
  <c r="G43" i="4" s="1"/>
  <c r="B30" i="19"/>
  <c r="G8" i="4" l="1"/>
  <c r="G11" i="4" s="1"/>
  <c r="I24" i="7"/>
  <c r="K24" i="7"/>
  <c r="C35" i="19"/>
  <c r="C37" i="19" s="1"/>
  <c r="C39" i="19" s="1"/>
  <c r="B40" i="19"/>
  <c r="B12" i="19"/>
  <c r="C23" i="4" s="1"/>
  <c r="C13" i="7" s="1"/>
  <c r="C8" i="18" s="1"/>
  <c r="B31" i="19"/>
  <c r="E12" i="19"/>
  <c r="F23" i="4" s="1"/>
  <c r="C12" i="19"/>
  <c r="D23" i="4" s="1"/>
  <c r="D12" i="19"/>
  <c r="E23" i="4" s="1"/>
  <c r="H42" i="4"/>
  <c r="H43" i="4" s="1"/>
  <c r="C26" i="19"/>
  <c r="H11" i="4" l="1"/>
  <c r="H8" i="4"/>
  <c r="C13" i="4"/>
  <c r="C12" i="7" s="1"/>
  <c r="D35" i="19"/>
  <c r="D37" i="19" s="1"/>
  <c r="D39" i="19" s="1"/>
  <c r="C40" i="19"/>
  <c r="B3" i="20"/>
  <c r="E5" i="11"/>
  <c r="C3" i="20"/>
  <c r="F13" i="7"/>
  <c r="D3" i="20"/>
  <c r="E13" i="7"/>
  <c r="E8" i="18" s="1"/>
  <c r="D13" i="7"/>
  <c r="D8" i="18" s="1"/>
  <c r="E3" i="20"/>
  <c r="C30" i="19"/>
  <c r="C28" i="19"/>
  <c r="I42" i="4"/>
  <c r="D12" i="4" l="1"/>
  <c r="E35" i="19"/>
  <c r="E37" i="19" s="1"/>
  <c r="E39" i="19" s="1"/>
  <c r="D40" i="19"/>
  <c r="C31" i="19"/>
  <c r="D13" i="4" s="1"/>
  <c r="E12" i="4" s="1"/>
  <c r="I43" i="4"/>
  <c r="J42" i="4"/>
  <c r="K42" i="4" s="1"/>
  <c r="D10" i="11" s="1"/>
  <c r="D27" i="11" s="1"/>
  <c r="D28" i="11" s="1"/>
  <c r="D29" i="11" s="1"/>
  <c r="D31" i="11" s="1"/>
  <c r="D26" i="19"/>
  <c r="D30" i="19" s="1"/>
  <c r="I8" i="4" l="1"/>
  <c r="I11" i="4" s="1"/>
  <c r="F35" i="19"/>
  <c r="F37" i="19" s="1"/>
  <c r="F9" i="19" s="1"/>
  <c r="E40" i="19"/>
  <c r="D12" i="7"/>
  <c r="D31" i="19"/>
  <c r="E13" i="4" s="1"/>
  <c r="E12" i="7" s="1"/>
  <c r="C27" i="11"/>
  <c r="C28" i="11" s="1"/>
  <c r="J43" i="4"/>
  <c r="D28" i="19"/>
  <c r="E26" i="19"/>
  <c r="E28" i="19" s="1"/>
  <c r="C12" i="1"/>
  <c r="C6" i="10" s="1"/>
  <c r="C35" i="1"/>
  <c r="C32" i="4" s="1"/>
  <c r="J29" i="4"/>
  <c r="K29" i="4"/>
  <c r="K12" i="18" s="1"/>
  <c r="D9" i="18"/>
  <c r="J8" i="4" l="1"/>
  <c r="J11" i="4" s="1"/>
  <c r="F38" i="19"/>
  <c r="F39" i="19" s="1"/>
  <c r="F11" i="19"/>
  <c r="E30" i="19"/>
  <c r="F12" i="4"/>
  <c r="K43" i="4"/>
  <c r="J12" i="18"/>
  <c r="J46" i="7"/>
  <c r="K46" i="7"/>
  <c r="C29" i="7"/>
  <c r="E6" i="9"/>
  <c r="E17" i="9"/>
  <c r="K11" i="4" l="1"/>
  <c r="K8" i="4"/>
  <c r="G35" i="19"/>
  <c r="G37" i="19" s="1"/>
  <c r="G9" i="19" s="1"/>
  <c r="F40" i="19"/>
  <c r="E31" i="19"/>
  <c r="F13" i="4" s="1"/>
  <c r="G12" i="4" s="1"/>
  <c r="F26" i="19"/>
  <c r="F28" i="19" s="1"/>
  <c r="E9" i="18"/>
  <c r="G11" i="19" l="1"/>
  <c r="G38" i="19"/>
  <c r="G39" i="19" s="1"/>
  <c r="F12" i="7"/>
  <c r="F8" i="19"/>
  <c r="G19" i="4" s="1"/>
  <c r="D14" i="4"/>
  <c r="D29" i="7"/>
  <c r="F9" i="18"/>
  <c r="E12" i="10"/>
  <c r="C29" i="11"/>
  <c r="C31" i="11" s="1"/>
  <c r="E31" i="11" s="1"/>
  <c r="J48" i="7"/>
  <c r="K48" i="7"/>
  <c r="C12" i="10"/>
  <c r="C20" i="1"/>
  <c r="D6" i="10" s="1"/>
  <c r="D12" i="10" s="1"/>
  <c r="D13" i="10" s="1"/>
  <c r="C16" i="1"/>
  <c r="F8" i="10"/>
  <c r="F7" i="10"/>
  <c r="E9" i="9"/>
  <c r="E7" i="9"/>
  <c r="C9" i="1"/>
  <c r="H35" i="19" l="1"/>
  <c r="H37" i="19" s="1"/>
  <c r="H9" i="19" s="1"/>
  <c r="G40" i="19"/>
  <c r="F10" i="19"/>
  <c r="F12" i="19" s="1"/>
  <c r="G23" i="4" s="1"/>
  <c r="F29" i="19"/>
  <c r="F30" i="19" s="1"/>
  <c r="C39" i="1"/>
  <c r="C8" i="2" s="1"/>
  <c r="C9" i="7"/>
  <c r="F6" i="10"/>
  <c r="F12" i="10"/>
  <c r="E14" i="11" s="1"/>
  <c r="C33" i="4"/>
  <c r="C14" i="4"/>
  <c r="D10" i="18"/>
  <c r="C7" i="15"/>
  <c r="E10" i="9"/>
  <c r="E12" i="9" s="1"/>
  <c r="E29" i="7"/>
  <c r="G9" i="18"/>
  <c r="E10" i="18"/>
  <c r="C10" i="7"/>
  <c r="B10" i="13"/>
  <c r="C13" i="10"/>
  <c r="C3" i="15"/>
  <c r="E13" i="10"/>
  <c r="K6" i="12"/>
  <c r="E5" i="12"/>
  <c r="H6" i="12"/>
  <c r="E6" i="12"/>
  <c r="D6" i="12"/>
  <c r="F6" i="12"/>
  <c r="F5" i="12"/>
  <c r="G5" i="12"/>
  <c r="I6" i="12"/>
  <c r="D14" i="10"/>
  <c r="H38" i="19" l="1"/>
  <c r="H39" i="19" s="1"/>
  <c r="H11" i="19"/>
  <c r="F31" i="19"/>
  <c r="G13" i="4" s="1"/>
  <c r="H12" i="4" s="1"/>
  <c r="F3" i="20"/>
  <c r="G13" i="7"/>
  <c r="G26" i="19"/>
  <c r="G28" i="19" s="1"/>
  <c r="C4" i="2"/>
  <c r="C6" i="2" s="1"/>
  <c r="B6" i="18" s="1"/>
  <c r="F9" i="10"/>
  <c r="B7" i="18"/>
  <c r="B25" i="18" s="1"/>
  <c r="B26" i="18" s="1"/>
  <c r="F13" i="10"/>
  <c r="C11" i="7"/>
  <c r="D9" i="7" s="1"/>
  <c r="E14" i="4"/>
  <c r="E13" i="9"/>
  <c r="F29" i="7"/>
  <c r="F3" i="15"/>
  <c r="F10" i="18"/>
  <c r="H9" i="18"/>
  <c r="C14" i="10"/>
  <c r="C10" i="13"/>
  <c r="D33" i="4"/>
  <c r="D10" i="7"/>
  <c r="E3" i="15"/>
  <c r="D3" i="15"/>
  <c r="E14" i="10"/>
  <c r="H5" i="12"/>
  <c r="J5" i="12"/>
  <c r="C6" i="12"/>
  <c r="J6" i="12"/>
  <c r="D5" i="12"/>
  <c r="I5" i="12"/>
  <c r="C5" i="12"/>
  <c r="G6" i="12"/>
  <c r="K5" i="12"/>
  <c r="D15" i="10"/>
  <c r="D16" i="10" s="1"/>
  <c r="D17" i="10" s="1"/>
  <c r="F14" i="10" l="1"/>
  <c r="I35" i="19"/>
  <c r="I37" i="19" s="1"/>
  <c r="I9" i="19" s="1"/>
  <c r="H40" i="19"/>
  <c r="G12" i="7"/>
  <c r="G8" i="19"/>
  <c r="H19" i="4" s="1"/>
  <c r="D4" i="14"/>
  <c r="D11" i="14" s="1"/>
  <c r="E15" i="9"/>
  <c r="C17" i="4"/>
  <c r="D17" i="4" s="1"/>
  <c r="E17" i="4" s="1"/>
  <c r="F17" i="4" s="1"/>
  <c r="G17" i="4" s="1"/>
  <c r="H17" i="4" s="1"/>
  <c r="I17" i="4" s="1"/>
  <c r="J17" i="4" s="1"/>
  <c r="K17" i="4" s="1"/>
  <c r="C18" i="7"/>
  <c r="B5" i="18" s="1"/>
  <c r="B19" i="18" s="1"/>
  <c r="C4" i="18" s="1"/>
  <c r="C23" i="18" s="1"/>
  <c r="C40" i="7"/>
  <c r="F14" i="4"/>
  <c r="G29" i="7"/>
  <c r="I9" i="18"/>
  <c r="G10" i="18"/>
  <c r="D11" i="7"/>
  <c r="D40" i="7" s="1"/>
  <c r="E33" i="4"/>
  <c r="E10" i="7"/>
  <c r="D10" i="13"/>
  <c r="C15" i="10"/>
  <c r="E15" i="10"/>
  <c r="D18" i="10"/>
  <c r="I38" i="19" l="1"/>
  <c r="I39" i="19" s="1"/>
  <c r="I11" i="19"/>
  <c r="G10" i="19"/>
  <c r="G12" i="19" s="1"/>
  <c r="H23" i="4" s="1"/>
  <c r="G29" i="19"/>
  <c r="G30" i="19" s="1"/>
  <c r="C9" i="14"/>
  <c r="E9" i="14" s="1"/>
  <c r="C11" i="14"/>
  <c r="E11" i="14" s="1"/>
  <c r="C10" i="14"/>
  <c r="E10" i="14" s="1"/>
  <c r="D12" i="14"/>
  <c r="D13" i="14" s="1"/>
  <c r="C24" i="18"/>
  <c r="B23" i="18"/>
  <c r="E13" i="11"/>
  <c r="C20" i="4"/>
  <c r="C11" i="18" s="1"/>
  <c r="F15" i="10"/>
  <c r="G14" i="4"/>
  <c r="F8" i="18"/>
  <c r="H29" i="7"/>
  <c r="H10" i="18"/>
  <c r="G3" i="15"/>
  <c r="J9" i="18"/>
  <c r="E9" i="7"/>
  <c r="E11" i="7" s="1"/>
  <c r="E40" i="7" s="1"/>
  <c r="F10" i="7"/>
  <c r="E10" i="13"/>
  <c r="F33" i="4"/>
  <c r="C16" i="10"/>
  <c r="C17" i="10" s="1"/>
  <c r="E16" i="10"/>
  <c r="D19" i="10"/>
  <c r="D20" i="10" s="1"/>
  <c r="J35" i="19" l="1"/>
  <c r="J37" i="19" s="1"/>
  <c r="J9" i="19" s="1"/>
  <c r="I40" i="19"/>
  <c r="G31" i="19"/>
  <c r="H13" i="4" s="1"/>
  <c r="I12" i="4" s="1"/>
  <c r="H13" i="7"/>
  <c r="I10" i="18" s="1"/>
  <c r="G3" i="20"/>
  <c r="H26" i="19"/>
  <c r="H28" i="19" s="1"/>
  <c r="H8" i="19" s="1"/>
  <c r="I19" i="4" s="1"/>
  <c r="C12" i="14"/>
  <c r="C13" i="14" s="1"/>
  <c r="C18" i="18"/>
  <c r="C47" i="7"/>
  <c r="D14" i="14"/>
  <c r="D15" i="14" s="1"/>
  <c r="D16" i="14" s="1"/>
  <c r="D17" i="14" s="1"/>
  <c r="B28" i="18"/>
  <c r="B24" i="18"/>
  <c r="B29" i="18" s="1"/>
  <c r="C22" i="4"/>
  <c r="C24" i="4" s="1"/>
  <c r="C49" i="7" s="1"/>
  <c r="D20" i="4"/>
  <c r="D11" i="18" s="1"/>
  <c r="F16" i="10"/>
  <c r="E20" i="4"/>
  <c r="G8" i="18"/>
  <c r="I29" i="7"/>
  <c r="K9" i="18"/>
  <c r="H3" i="15"/>
  <c r="F9" i="7"/>
  <c r="F11" i="7" s="1"/>
  <c r="F40" i="7" s="1"/>
  <c r="G10" i="7"/>
  <c r="F10" i="13"/>
  <c r="G33" i="4"/>
  <c r="C18" i="10"/>
  <c r="E17" i="10"/>
  <c r="H33" i="4" s="1"/>
  <c r="J38" i="19" l="1"/>
  <c r="J39" i="19" s="1"/>
  <c r="J40" i="19" s="1"/>
  <c r="J11" i="19"/>
  <c r="H14" i="4"/>
  <c r="H12" i="7"/>
  <c r="H10" i="19"/>
  <c r="H12" i="19" s="1"/>
  <c r="I23" i="4" s="1"/>
  <c r="H29" i="19"/>
  <c r="H30" i="19" s="1"/>
  <c r="D18" i="18"/>
  <c r="E12" i="14"/>
  <c r="C27" i="4" s="1"/>
  <c r="C29" i="4" s="1"/>
  <c r="C46" i="7" s="1"/>
  <c r="C48" i="7" s="1"/>
  <c r="C50" i="7" s="1"/>
  <c r="D18" i="14"/>
  <c r="D19" i="14" s="1"/>
  <c r="D20" i="14" s="1"/>
  <c r="D21" i="14" s="1"/>
  <c r="D47" i="7"/>
  <c r="E13" i="14"/>
  <c r="C22" i="7"/>
  <c r="C14" i="14"/>
  <c r="D22" i="4"/>
  <c r="D24" i="4" s="1"/>
  <c r="D49" i="7" s="1"/>
  <c r="B4" i="20"/>
  <c r="B5" i="20" s="1"/>
  <c r="B6" i="20" s="1"/>
  <c r="F17" i="10"/>
  <c r="F20" i="4"/>
  <c r="E11" i="18"/>
  <c r="E22" i="4"/>
  <c r="H8" i="18"/>
  <c r="K29" i="7"/>
  <c r="J29" i="7"/>
  <c r="G9" i="7"/>
  <c r="G11" i="7" s="1"/>
  <c r="H10" i="7"/>
  <c r="G10" i="13"/>
  <c r="C19" i="10"/>
  <c r="E18" i="10"/>
  <c r="E19" i="10" s="1"/>
  <c r="H31" i="19" l="1"/>
  <c r="I13" i="4" s="1"/>
  <c r="I14" i="4" s="1"/>
  <c r="I13" i="7"/>
  <c r="J10" i="18" s="1"/>
  <c r="H3" i="20"/>
  <c r="I3" i="15"/>
  <c r="I26" i="19"/>
  <c r="I28" i="19" s="1"/>
  <c r="I8" i="19" s="1"/>
  <c r="J19" i="4" s="1"/>
  <c r="C31" i="4"/>
  <c r="C34" i="4" s="1"/>
  <c r="B7" i="20" s="1"/>
  <c r="E17" i="11"/>
  <c r="C12" i="18"/>
  <c r="C13" i="18" s="1"/>
  <c r="E18" i="18"/>
  <c r="E47" i="7"/>
  <c r="D22" i="14"/>
  <c r="D23" i="14" s="1"/>
  <c r="D24" i="14" s="1"/>
  <c r="D25" i="14" s="1"/>
  <c r="E14" i="14"/>
  <c r="C15" i="14"/>
  <c r="C41" i="7"/>
  <c r="C42" i="7" s="1"/>
  <c r="C34" i="7"/>
  <c r="C4" i="20"/>
  <c r="C5" i="20" s="1"/>
  <c r="C6" i="20" s="1"/>
  <c r="F18" i="10"/>
  <c r="E24" i="4"/>
  <c r="E49" i="7" s="1"/>
  <c r="D4" i="20"/>
  <c r="C20" i="10"/>
  <c r="F19" i="10"/>
  <c r="E10" i="11"/>
  <c r="E11" i="11" s="1"/>
  <c r="G20" i="4"/>
  <c r="F11" i="18"/>
  <c r="F22" i="4"/>
  <c r="G40" i="7"/>
  <c r="H9" i="7"/>
  <c r="H11" i="7" s="1"/>
  <c r="I10" i="7"/>
  <c r="I33" i="4"/>
  <c r="H10" i="13"/>
  <c r="I10" i="13"/>
  <c r="J10" i="7"/>
  <c r="J33" i="4"/>
  <c r="E20" i="10"/>
  <c r="I12" i="7" l="1"/>
  <c r="J12" i="4"/>
  <c r="I8" i="18"/>
  <c r="I10" i="19"/>
  <c r="I12" i="19" s="1"/>
  <c r="J23" i="4" s="1"/>
  <c r="I29" i="19"/>
  <c r="I30" i="19" s="1"/>
  <c r="B7" i="13"/>
  <c r="B9" i="13" s="1"/>
  <c r="B11" i="13" s="1"/>
  <c r="B13" i="13" s="1"/>
  <c r="B14" i="13" s="1"/>
  <c r="C35" i="4" s="1"/>
  <c r="C14" i="18" s="1"/>
  <c r="C15" i="18" s="1"/>
  <c r="F47" i="7"/>
  <c r="F18" i="18"/>
  <c r="D26" i="14"/>
  <c r="E15" i="14"/>
  <c r="C16" i="14"/>
  <c r="F20" i="10"/>
  <c r="F24" i="4"/>
  <c r="F49" i="7" s="1"/>
  <c r="E4" i="20"/>
  <c r="E5" i="20" s="1"/>
  <c r="E6" i="20" s="1"/>
  <c r="D5" i="20"/>
  <c r="D6" i="20" s="1"/>
  <c r="K33" i="4"/>
  <c r="J10" i="13"/>
  <c r="G11" i="18"/>
  <c r="G22" i="4"/>
  <c r="F4" i="20" s="1"/>
  <c r="F5" i="20" s="1"/>
  <c r="F6" i="20" s="1"/>
  <c r="H20" i="4"/>
  <c r="H40" i="7"/>
  <c r="I9" i="7"/>
  <c r="I11" i="7" s="1"/>
  <c r="J9" i="7" s="1"/>
  <c r="J11" i="7" s="1"/>
  <c r="K10" i="7"/>
  <c r="I31" i="19" l="1"/>
  <c r="J13" i="4" s="1"/>
  <c r="J14" i="4" s="1"/>
  <c r="I3" i="20"/>
  <c r="J13" i="7"/>
  <c r="K10" i="18" s="1"/>
  <c r="J26" i="19"/>
  <c r="J28" i="19" s="1"/>
  <c r="J8" i="19" s="1"/>
  <c r="K19" i="4" s="1"/>
  <c r="C36" i="4"/>
  <c r="D27" i="14"/>
  <c r="E16" i="14"/>
  <c r="D27" i="4" s="1"/>
  <c r="D29" i="4" s="1"/>
  <c r="C17" i="14"/>
  <c r="E18" i="11"/>
  <c r="C33" i="11" s="1"/>
  <c r="C35" i="11" s="1"/>
  <c r="H11" i="18"/>
  <c r="H22" i="4"/>
  <c r="G4" i="20" s="1"/>
  <c r="G5" i="20" s="1"/>
  <c r="G6" i="20" s="1"/>
  <c r="I20" i="4"/>
  <c r="I40" i="7"/>
  <c r="J40" i="7"/>
  <c r="K9" i="7"/>
  <c r="K11" i="7" s="1"/>
  <c r="K40" i="7" s="1"/>
  <c r="G24" i="4"/>
  <c r="G49" i="7" s="1"/>
  <c r="K12" i="4" l="1"/>
  <c r="J12" i="7"/>
  <c r="C37" i="4"/>
  <c r="C16" i="18" s="1"/>
  <c r="J8" i="18"/>
  <c r="J10" i="19"/>
  <c r="J12" i="19" s="1"/>
  <c r="K23" i="4" s="1"/>
  <c r="J29" i="19"/>
  <c r="J30" i="19" s="1"/>
  <c r="K20" i="4"/>
  <c r="B8" i="20"/>
  <c r="D28" i="14"/>
  <c r="G18" i="18" s="1"/>
  <c r="D12" i="18"/>
  <c r="D46" i="7"/>
  <c r="D48" i="7" s="1"/>
  <c r="D50" i="7" s="1"/>
  <c r="D31" i="4"/>
  <c r="E17" i="14"/>
  <c r="D22" i="7"/>
  <c r="C18" i="14"/>
  <c r="J20" i="4"/>
  <c r="I11" i="18"/>
  <c r="I22" i="4"/>
  <c r="H4" i="20" s="1"/>
  <c r="H5" i="20" s="1"/>
  <c r="H6" i="20" s="1"/>
  <c r="C38" i="4" l="1"/>
  <c r="C19" i="7" s="1"/>
  <c r="C21" i="7" s="1"/>
  <c r="C25" i="7" s="1"/>
  <c r="C25" i="18"/>
  <c r="C26" i="18" s="1"/>
  <c r="C17" i="18"/>
  <c r="C19" i="18" s="1"/>
  <c r="C14" i="7" s="1"/>
  <c r="C15" i="7" s="1"/>
  <c r="J31" i="19"/>
  <c r="K13" i="4" s="1"/>
  <c r="K12" i="7" s="1"/>
  <c r="J3" i="20"/>
  <c r="K13" i="7"/>
  <c r="K8" i="18" s="1"/>
  <c r="G47" i="7"/>
  <c r="D29" i="14"/>
  <c r="D34" i="4"/>
  <c r="C7" i="13"/>
  <c r="C9" i="13" s="1"/>
  <c r="C11" i="13" s="1"/>
  <c r="C13" i="13" s="1"/>
  <c r="C14" i="13" s="1"/>
  <c r="D35" i="4" s="1"/>
  <c r="D14" i="18" s="1"/>
  <c r="D41" i="7"/>
  <c r="D42" i="7" s="1"/>
  <c r="D34" i="7"/>
  <c r="E18" i="14"/>
  <c r="C19" i="14"/>
  <c r="J11" i="18"/>
  <c r="J22" i="4"/>
  <c r="I4" i="20" s="1"/>
  <c r="I5" i="20" s="1"/>
  <c r="I6" i="20" s="1"/>
  <c r="K11" i="18"/>
  <c r="H24" i="4"/>
  <c r="H49" i="7" s="1"/>
  <c r="K14" i="4" l="1"/>
  <c r="K22" i="4" s="1"/>
  <c r="J4" i="20" s="1"/>
  <c r="J5" i="20" s="1"/>
  <c r="J6" i="20" s="1"/>
  <c r="C28" i="18"/>
  <c r="C29" i="18" s="1"/>
  <c r="C35" i="7"/>
  <c r="C36" i="7" s="1"/>
  <c r="D18" i="7"/>
  <c r="D4" i="18"/>
  <c r="D23" i="18" s="1"/>
  <c r="D24" i="18" s="1"/>
  <c r="C28" i="7"/>
  <c r="C30" i="7" s="1"/>
  <c r="D30" i="14"/>
  <c r="C7" i="20"/>
  <c r="D36" i="4"/>
  <c r="D37" i="4" s="1"/>
  <c r="E19" i="14"/>
  <c r="C20" i="14"/>
  <c r="D13" i="18" l="1"/>
  <c r="D15" i="18" s="1"/>
  <c r="D31" i="14"/>
  <c r="E20" i="14"/>
  <c r="E27" i="4" s="1"/>
  <c r="E29" i="4" s="1"/>
  <c r="C21" i="14"/>
  <c r="C8" i="20"/>
  <c r="I24" i="4"/>
  <c r="I49" i="7" s="1"/>
  <c r="D32" i="14" l="1"/>
  <c r="H47" i="7" s="1"/>
  <c r="E12" i="18"/>
  <c r="E31" i="4"/>
  <c r="E46" i="7"/>
  <c r="E48" i="7" s="1"/>
  <c r="E50" i="7" s="1"/>
  <c r="D16" i="18"/>
  <c r="D38" i="4"/>
  <c r="D19" i="7" s="1"/>
  <c r="D21" i="7" s="1"/>
  <c r="E21" i="14"/>
  <c r="E22" i="7"/>
  <c r="C22" i="14"/>
  <c r="D33" i="14" l="1"/>
  <c r="H18" i="18"/>
  <c r="E22" i="14"/>
  <c r="C23" i="14"/>
  <c r="E34" i="7"/>
  <c r="E41" i="7"/>
  <c r="E42" i="7" s="1"/>
  <c r="E18" i="7"/>
  <c r="D25" i="7"/>
  <c r="D35" i="7"/>
  <c r="D36" i="7" s="1"/>
  <c r="D25" i="18"/>
  <c r="D17" i="18"/>
  <c r="D19" i="18" s="1"/>
  <c r="E34" i="4"/>
  <c r="D7" i="13"/>
  <c r="D9" i="13" s="1"/>
  <c r="D11" i="13" s="1"/>
  <c r="D13" i="13" s="1"/>
  <c r="D14" i="13" s="1"/>
  <c r="E35" i="4" s="1"/>
  <c r="E14" i="18" s="1"/>
  <c r="D34" i="14" l="1"/>
  <c r="D26" i="18"/>
  <c r="D28" i="18"/>
  <c r="D29" i="18" s="1"/>
  <c r="D7" i="20"/>
  <c r="E36" i="4"/>
  <c r="E37" i="4" s="1"/>
  <c r="E23" i="14"/>
  <c r="C24" i="14"/>
  <c r="D14" i="7"/>
  <c r="E4" i="18"/>
  <c r="J24" i="4"/>
  <c r="J3" i="15"/>
  <c r="K3" i="15"/>
  <c r="D35" i="14" l="1"/>
  <c r="D36" i="14" s="1"/>
  <c r="I47" i="7" s="1"/>
  <c r="E24" i="14"/>
  <c r="F27" i="4" s="1"/>
  <c r="F29" i="4" s="1"/>
  <c r="C25" i="14"/>
  <c r="D28" i="7"/>
  <c r="D30" i="7" s="1"/>
  <c r="D15" i="7"/>
  <c r="E23" i="18"/>
  <c r="E24" i="18" s="1"/>
  <c r="E13" i="18"/>
  <c r="E15" i="18" s="1"/>
  <c r="E16" i="18"/>
  <c r="E25" i="18" s="1"/>
  <c r="E26" i="18" s="1"/>
  <c r="D8" i="20"/>
  <c r="J31" i="4"/>
  <c r="J34" i="4" s="1"/>
  <c r="J49" i="7"/>
  <c r="K24" i="4"/>
  <c r="I18" i="18" l="1"/>
  <c r="E17" i="18"/>
  <c r="E19" i="18" s="1"/>
  <c r="F12" i="18"/>
  <c r="F46" i="7"/>
  <c r="F48" i="7" s="1"/>
  <c r="F50" i="7" s="1"/>
  <c r="F31" i="4"/>
  <c r="E25" i="14"/>
  <c r="F22" i="7"/>
  <c r="C26" i="14"/>
  <c r="E28" i="18"/>
  <c r="E29" i="18" s="1"/>
  <c r="E38" i="4"/>
  <c r="E19" i="7" s="1"/>
  <c r="E21" i="7" s="1"/>
  <c r="I7" i="20"/>
  <c r="I7" i="13"/>
  <c r="I9" i="13" s="1"/>
  <c r="I11" i="13" s="1"/>
  <c r="I13" i="13" s="1"/>
  <c r="I14" i="13" s="1"/>
  <c r="J35" i="4" s="1"/>
  <c r="J14" i="18" s="1"/>
  <c r="K31" i="4"/>
  <c r="K34" i="4" s="1"/>
  <c r="K49" i="7"/>
  <c r="E26" i="14" l="1"/>
  <c r="C27" i="14"/>
  <c r="F41" i="7"/>
  <c r="F42" i="7" s="1"/>
  <c r="F34" i="7"/>
  <c r="F34" i="4"/>
  <c r="E7" i="13"/>
  <c r="E9" i="13" s="1"/>
  <c r="E11" i="13" s="1"/>
  <c r="E13" i="13" s="1"/>
  <c r="E14" i="13" s="1"/>
  <c r="F35" i="4" s="1"/>
  <c r="F14" i="18" s="1"/>
  <c r="E35" i="7"/>
  <c r="E36" i="7" s="1"/>
  <c r="F18" i="7"/>
  <c r="E25" i="7"/>
  <c r="F4" i="18"/>
  <c r="E14" i="7"/>
  <c r="J7" i="20"/>
  <c r="J36" i="4"/>
  <c r="J37" i="4" s="1"/>
  <c r="J7" i="13"/>
  <c r="J9" i="13" s="1"/>
  <c r="J11" i="13" s="1"/>
  <c r="J13" i="13" s="1"/>
  <c r="J14" i="13" s="1"/>
  <c r="K35" i="4" s="1"/>
  <c r="F23" i="18" l="1"/>
  <c r="F24" i="18" s="1"/>
  <c r="F13" i="18"/>
  <c r="F15" i="18" s="1"/>
  <c r="E7" i="20"/>
  <c r="F36" i="4"/>
  <c r="F37" i="4" s="1"/>
  <c r="E15" i="7"/>
  <c r="E28" i="7"/>
  <c r="E30" i="7" s="1"/>
  <c r="E27" i="14"/>
  <c r="C28" i="14"/>
  <c r="J38" i="4"/>
  <c r="J19" i="7" s="1"/>
  <c r="I8" i="20"/>
  <c r="K36" i="4"/>
  <c r="K37" i="4" s="1"/>
  <c r="K14" i="18"/>
  <c r="E28" i="14" l="1"/>
  <c r="G27" i="4" s="1"/>
  <c r="G29" i="4" s="1"/>
  <c r="C29" i="14"/>
  <c r="G22" i="7"/>
  <c r="E8" i="20"/>
  <c r="J16" i="18"/>
  <c r="K38" i="4"/>
  <c r="K19" i="7" s="1"/>
  <c r="J8" i="20"/>
  <c r="G31" i="4" l="1"/>
  <c r="G12" i="18"/>
  <c r="G46" i="7"/>
  <c r="G48" i="7" s="1"/>
  <c r="G50" i="7" s="1"/>
  <c r="F51" i="7" s="1"/>
  <c r="E29" i="14"/>
  <c r="C30" i="14"/>
  <c r="G41" i="7"/>
  <c r="G42" i="7" s="1"/>
  <c r="G34" i="7"/>
  <c r="F16" i="18"/>
  <c r="F38" i="4"/>
  <c r="F19" i="7" s="1"/>
  <c r="F21" i="7" s="1"/>
  <c r="J25" i="18"/>
  <c r="J26" i="18" s="1"/>
  <c r="K16" i="18"/>
  <c r="F25" i="18" l="1"/>
  <c r="F17" i="18"/>
  <c r="F19" i="18" s="1"/>
  <c r="E30" i="14"/>
  <c r="C31" i="14"/>
  <c r="F25" i="7"/>
  <c r="F35" i="7"/>
  <c r="F36" i="7" s="1"/>
  <c r="G18" i="7"/>
  <c r="G34" i="4"/>
  <c r="F7" i="13"/>
  <c r="F9" i="13" s="1"/>
  <c r="F11" i="13" s="1"/>
  <c r="F13" i="13" s="1"/>
  <c r="F14" i="13" s="1"/>
  <c r="G35" i="4" s="1"/>
  <c r="G14" i="18" s="1"/>
  <c r="K25" i="18"/>
  <c r="K26" i="18" s="1"/>
  <c r="C32" i="14" l="1"/>
  <c r="E31" i="14"/>
  <c r="F14" i="7"/>
  <c r="G4" i="18"/>
  <c r="F7" i="20"/>
  <c r="G36" i="4"/>
  <c r="G37" i="4" s="1"/>
  <c r="F28" i="18"/>
  <c r="F29" i="18" s="1"/>
  <c r="F26" i="18"/>
  <c r="G16" i="18" l="1"/>
  <c r="G25" i="18" s="1"/>
  <c r="G26" i="18" s="1"/>
  <c r="F8" i="20"/>
  <c r="G23" i="18"/>
  <c r="G24" i="18" s="1"/>
  <c r="G13" i="18"/>
  <c r="G15" i="18" s="1"/>
  <c r="F28" i="7"/>
  <c r="F30" i="7" s="1"/>
  <c r="F15" i="7"/>
  <c r="C33" i="14"/>
  <c r="E32" i="14"/>
  <c r="H27" i="4" s="1"/>
  <c r="H29" i="4" s="1"/>
  <c r="H22" i="7"/>
  <c r="G38" i="4" l="1"/>
  <c r="G19" i="7" s="1"/>
  <c r="G21" i="7" s="1"/>
  <c r="G28" i="18"/>
  <c r="G29" i="18" s="1"/>
  <c r="G17" i="18"/>
  <c r="G19" i="18" s="1"/>
  <c r="G14" i="7" s="1"/>
  <c r="G28" i="7" s="1"/>
  <c r="G30" i="7" s="1"/>
  <c r="C34" i="14"/>
  <c r="E33" i="14"/>
  <c r="H41" i="7"/>
  <c r="H42" i="7" s="1"/>
  <c r="F43" i="7" s="1"/>
  <c r="H34" i="7"/>
  <c r="H46" i="7"/>
  <c r="H48" i="7" s="1"/>
  <c r="H50" i="7" s="1"/>
  <c r="H12" i="18"/>
  <c r="H31" i="4"/>
  <c r="H4" i="18" l="1"/>
  <c r="H23" i="18" s="1"/>
  <c r="H24" i="18" s="1"/>
  <c r="G15" i="7"/>
  <c r="G25" i="7"/>
  <c r="G35" i="7"/>
  <c r="G36" i="7" s="1"/>
  <c r="H18" i="7"/>
  <c r="H34" i="4"/>
  <c r="G7" i="13"/>
  <c r="G9" i="13" s="1"/>
  <c r="G11" i="13" s="1"/>
  <c r="G13" i="13" s="1"/>
  <c r="G14" i="13" s="1"/>
  <c r="H35" i="4" s="1"/>
  <c r="H14" i="18" s="1"/>
  <c r="C35" i="14"/>
  <c r="E34" i="14"/>
  <c r="H13" i="18" l="1"/>
  <c r="H15" i="18" s="1"/>
  <c r="C36" i="14"/>
  <c r="E36" i="14" s="1"/>
  <c r="E35" i="14"/>
  <c r="G7" i="20"/>
  <c r="H36" i="4"/>
  <c r="H37" i="4" s="1"/>
  <c r="I27" i="4" l="1"/>
  <c r="I29" i="4" s="1"/>
  <c r="I12" i="18" s="1"/>
  <c r="G8" i="20"/>
  <c r="I31" i="4" l="1"/>
  <c r="I34" i="4" s="1"/>
  <c r="H7" i="20" s="1"/>
  <c r="I46" i="7"/>
  <c r="I48" i="7" s="1"/>
  <c r="I50" i="7" s="1"/>
  <c r="H16" i="18"/>
  <c r="H38" i="4"/>
  <c r="H19" i="7" s="1"/>
  <c r="H21" i="7" s="1"/>
  <c r="H7" i="13" l="1"/>
  <c r="H9" i="13" s="1"/>
  <c r="H11" i="13" s="1"/>
  <c r="H13" i="13" s="1"/>
  <c r="H14" i="13" s="1"/>
  <c r="I35" i="4" s="1"/>
  <c r="I14" i="18" s="1"/>
  <c r="H35" i="7"/>
  <c r="H36" i="7" s="1"/>
  <c r="I18" i="7"/>
  <c r="H25" i="7"/>
  <c r="H25" i="18"/>
  <c r="H17" i="18"/>
  <c r="H19" i="18" s="1"/>
  <c r="I36" i="4" l="1"/>
  <c r="I4" i="18"/>
  <c r="H14" i="7"/>
  <c r="H26" i="18"/>
  <c r="H28" i="18"/>
  <c r="H29" i="18" s="1"/>
  <c r="I37" i="4" l="1"/>
  <c r="I16" i="18" s="1"/>
  <c r="I25" i="18" s="1"/>
  <c r="I26" i="18" s="1"/>
  <c r="H8" i="20"/>
  <c r="H15" i="7"/>
  <c r="H28" i="7"/>
  <c r="H30" i="7" s="1"/>
  <c r="I13" i="18"/>
  <c r="I15" i="18" s="1"/>
  <c r="I23" i="18"/>
  <c r="I24" i="18" s="1"/>
  <c r="I17" i="18" l="1"/>
  <c r="I19" i="18" s="1"/>
  <c r="I14" i="7" s="1"/>
  <c r="I15" i="7" s="1"/>
  <c r="I38" i="4"/>
  <c r="I19" i="7" s="1"/>
  <c r="I21" i="7" s="1"/>
  <c r="I25" i="7" s="1"/>
  <c r="I28" i="18"/>
  <c r="I29" i="18" s="1"/>
  <c r="I28" i="7" l="1"/>
  <c r="I30" i="7" s="1"/>
  <c r="J4" i="18"/>
  <c r="J23" i="18" s="1"/>
  <c r="J28" i="18" s="1"/>
  <c r="J29" i="18" s="1"/>
  <c r="I35" i="7"/>
  <c r="I36" i="7" s="1"/>
  <c r="J18" i="7"/>
  <c r="J21" i="7" s="1"/>
  <c r="K18" i="7" s="1"/>
  <c r="K21" i="7" s="1"/>
  <c r="K35" i="7" s="1"/>
  <c r="K36" i="7" s="1"/>
  <c r="J35" i="7" l="1"/>
  <c r="J36" i="7" s="1"/>
  <c r="F37" i="7" s="1"/>
  <c r="J24" i="18"/>
  <c r="J13" i="18"/>
  <c r="J15" i="18" s="1"/>
  <c r="J17" i="18" s="1"/>
  <c r="J19" i="18" s="1"/>
  <c r="J14" i="7" s="1"/>
  <c r="J28" i="7" s="1"/>
  <c r="J30" i="7" s="1"/>
  <c r="K25" i="7"/>
  <c r="J25" i="7"/>
  <c r="K4" i="18" l="1"/>
  <c r="K13" i="18" s="1"/>
  <c r="K15" i="18" s="1"/>
  <c r="K17" i="18" s="1"/>
  <c r="K19" i="18" s="1"/>
  <c r="K14" i="7" s="1"/>
  <c r="K15" i="7" s="1"/>
  <c r="J15" i="7"/>
  <c r="K28" i="7" l="1"/>
  <c r="K30" i="7" s="1"/>
  <c r="F31" i="7" s="1"/>
  <c r="K23" i="18"/>
  <c r="K28" i="18" s="1"/>
  <c r="K29" i="18" s="1"/>
  <c r="K24" i="18" l="1"/>
  <c r="L29" i="18" s="1"/>
</calcChain>
</file>

<file path=xl/sharedStrings.xml><?xml version="1.0" encoding="utf-8"?>
<sst xmlns="http://schemas.openxmlformats.org/spreadsheetml/2006/main" count="460" uniqueCount="320">
  <si>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</si>
  <si>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</si>
  <si>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</si>
  <si>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</si>
  <si>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</si>
  <si>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</si>
  <si>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</si>
  <si>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</si>
  <si>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</si>
  <si>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</si>
  <si>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</si>
  <si>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</si>
  <si>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</si>
  <si>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</si>
  <si>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</si>
  <si>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</si>
  <si>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</si>
  <si>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</si>
  <si>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</si>
  <si>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</si>
  <si>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</si>
  <si>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</si>
  <si>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</si>
  <si>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</si>
  <si>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</si>
  <si>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</si>
  <si>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</si>
  <si>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</si>
  <si>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</si>
  <si>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</si>
  <si>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</si>
  <si>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</si>
  <si>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</si>
  <si>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</si>
  <si>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</si>
  <si>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</si>
  <si>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</si>
  <si>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</si>
  <si>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</si>
  <si>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</si>
  <si>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</si>
  <si>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</si>
  <si>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</si>
  <si>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</si>
  <si>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</si>
  <si>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</si>
  <si>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</si>
  <si>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</si>
  <si>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</si>
  <si>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</si>
  <si>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</si>
  <si>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</si>
  <si>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</si>
  <si>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</si>
  <si>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</si>
  <si>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</si>
  <si>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</si>
  <si>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</si>
  <si>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</si>
  <si>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</si>
  <si>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</si>
  <si>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</si>
  <si>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</si>
  <si>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</si>
  <si>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</si>
  <si>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</si>
  <si>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</si>
  <si>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</si>
  <si>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</si>
  <si>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</si>
  <si>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</si>
  <si>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</si>
  <si>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</si>
  <si>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</si>
  <si>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</si>
  <si>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</si>
  <si>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</si>
  <si>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Less: fixed cost</t>
  </si>
  <si>
    <t>Wages and salaries</t>
  </si>
  <si>
    <t>- electricity expense</t>
  </si>
  <si>
    <t>Depreciation</t>
  </si>
  <si>
    <t>Fixed cost</t>
  </si>
  <si>
    <t>Electricity charges</t>
  </si>
  <si>
    <t>selling expenses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</si>
  <si>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</si>
  <si>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</si>
  <si>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</si>
  <si>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</si>
  <si>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</si>
  <si>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</si>
  <si>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</si>
  <si>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</si>
  <si>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</si>
  <si>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</si>
  <si>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</si>
  <si>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</si>
  <si>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</si>
  <si>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</si>
  <si>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</si>
  <si>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</si>
  <si>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</si>
  <si>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</si>
  <si>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</si>
  <si>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</si>
  <si>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</si>
  <si>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</si>
  <si>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</si>
  <si>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</si>
  <si>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</si>
  <si>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</si>
  <si>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</si>
  <si>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</si>
  <si>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</si>
  <si>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</si>
  <si>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</si>
  <si>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</si>
  <si>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</si>
  <si>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</si>
  <si>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</si>
  <si>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</si>
  <si>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</si>
  <si>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</si>
  <si>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</si>
  <si>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</si>
  <si>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</si>
  <si>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</si>
  <si>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</si>
  <si>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</si>
  <si>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</si>
  <si>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</si>
  <si>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</si>
  <si>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</si>
  <si>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</si>
  <si>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</si>
  <si>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</si>
  <si>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</si>
  <si>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</si>
  <si>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</si>
  <si>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</si>
  <si>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</si>
  <si>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</si>
  <si>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</si>
  <si>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</si>
  <si>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</si>
  <si>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</si>
  <si>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</si>
  <si>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</si>
  <si>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</si>
  <si>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</si>
  <si>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</si>
  <si>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</si>
  <si>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</si>
  <si>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</si>
  <si>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</si>
  <si>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</si>
  <si>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</si>
  <si>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</si>
  <si>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</si>
  <si>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</si>
  <si>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</si>
  <si>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</si>
  <si>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</si>
  <si>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</si>
  <si>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</si>
  <si>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</si>
  <si>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</si>
  <si>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</si>
  <si>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</si>
  <si>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</si>
  <si>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</si>
  <si>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</si>
  <si>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</si>
  <si>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</si>
  <si>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</si>
  <si>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</si>
  <si>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Production budget</t>
  </si>
  <si>
    <t>Production capacity</t>
  </si>
  <si>
    <t>Production qty in a year</t>
  </si>
  <si>
    <t>kgs</t>
  </si>
  <si>
    <t>Products</t>
  </si>
  <si>
    <t>Production at 100% capacity</t>
  </si>
  <si>
    <t>purchase prices per kg in year I</t>
  </si>
  <si>
    <t>Opening Stock</t>
  </si>
  <si>
    <t>Add: Production</t>
  </si>
  <si>
    <t>Less: Sales</t>
  </si>
  <si>
    <t>Closing Stock</t>
  </si>
  <si>
    <t>Assumptions:</t>
  </si>
  <si>
    <t>Output</t>
  </si>
  <si>
    <t>Purchase of raw material input</t>
  </si>
  <si>
    <t>Electricity expense</t>
  </si>
  <si>
    <t>Usage in units</t>
  </si>
  <si>
    <t>Cost of Production</t>
  </si>
  <si>
    <t>Add: Opening stock</t>
  </si>
  <si>
    <t>Less: Closing stock</t>
  </si>
  <si>
    <t>- Procurement cost of inputs</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</si>
  <si>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</si>
  <si>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</si>
  <si>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</si>
  <si>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</si>
  <si>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</si>
  <si>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</si>
  <si>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</si>
  <si>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</si>
  <si>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</si>
  <si>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</si>
  <si>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</si>
  <si>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</si>
  <si>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</si>
  <si>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</si>
  <si>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</si>
  <si>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</si>
  <si>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</si>
  <si>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</si>
  <si>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</si>
  <si>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</si>
  <si>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</si>
  <si>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</si>
  <si>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</si>
  <si>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</si>
  <si>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</si>
  <si>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</si>
  <si>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</si>
  <si>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</si>
  <si>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</si>
  <si>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</si>
  <si>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</si>
  <si>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</si>
  <si>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</si>
  <si>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</si>
  <si>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</si>
  <si>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</si>
  <si>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</si>
  <si>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</si>
  <si>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</si>
  <si>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</si>
  <si>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</si>
  <si>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</si>
  <si>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</si>
  <si>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</si>
  <si>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</si>
  <si>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</si>
  <si>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</si>
  <si>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</si>
  <si>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</si>
  <si>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DPR without subsidy</t>
  </si>
  <si>
    <t>iv.</t>
  </si>
  <si>
    <t>Labour/ helper</t>
  </si>
  <si>
    <t>Annual cost</t>
  </si>
  <si>
    <t>1. asssumed that 60 days of purchases are average creditors maintained</t>
  </si>
  <si>
    <t>Asssumed that 60 days of purchases are average creditors maintained</t>
  </si>
  <si>
    <t>1. Building</t>
  </si>
  <si>
    <t>Building as per estimate</t>
  </si>
  <si>
    <t>kg per day</t>
  </si>
  <si>
    <t>Production days in a year</t>
  </si>
  <si>
    <t>days</t>
  </si>
  <si>
    <t>Ann 3'!A1</t>
  </si>
  <si>
    <t>Add: benefits @ 20%</t>
  </si>
  <si>
    <t>input output ratio is 50%, i.e., 1 kg of rapeseed would produce 0.5 kg/ litre of oil</t>
  </si>
  <si>
    <t>Packaging cost</t>
  </si>
  <si>
    <t>Procurement cost of rapeseed</t>
  </si>
  <si>
    <t>It is assumed that input output ratio of mustard oil production is 50%, i.e., to produce output of 1 litre of oil- 2 kg of rapeseed is required to be processed</t>
  </si>
  <si>
    <t>Packing expense is variable at Rs 2 per kg</t>
  </si>
  <si>
    <t>There are some miscellaneous expenses assumed for managing office and employees expense. This is semi fixed cost, fixed to the extent of Rs 10 lakhs per annum and variable @ 1% of sales. The fixed expense would increase after 5 years by 20%</t>
  </si>
  <si>
    <t>Closing stock is valued at Rs. 120 per kg</t>
  </si>
  <si>
    <t>Packaging cost @ Rs. 2 per kg</t>
  </si>
  <si>
    <t>Break-even point is the condition when an entity generate sufficient revenue that it can meet its fixed expense after deducting any variable expense, i.e., the point where contribution is equal to the fixed expense.</t>
  </si>
  <si>
    <t>2. Electricity usage in units is given below</t>
  </si>
  <si>
    <t>3. Closing stock is valued at Rs. 120 per kg</t>
  </si>
  <si>
    <t>Annexure 8 - Details of Manpower</t>
  </si>
  <si>
    <t>Annexure 14 - Cash flow statement</t>
  </si>
  <si>
    <t>Ann 14'!A1</t>
  </si>
  <si>
    <t>Capacity</t>
  </si>
  <si>
    <t>Wastage</t>
  </si>
  <si>
    <t>oil</t>
  </si>
  <si>
    <t>Cake</t>
  </si>
  <si>
    <t>Proportion</t>
  </si>
  <si>
    <t>sales prices for oil per kg in year I</t>
  </si>
  <si>
    <t>sales prices for cake per kg in year I</t>
  </si>
  <si>
    <t>Motor</t>
  </si>
  <si>
    <t>Oil filter</t>
  </si>
  <si>
    <t>Boilers</t>
  </si>
  <si>
    <t>Oil storage tank</t>
  </si>
  <si>
    <t>Shaker with blower</t>
  </si>
  <si>
    <t>Weighing scale</t>
  </si>
  <si>
    <t>Packaging machine</t>
  </si>
  <si>
    <t>Miscellaneous</t>
  </si>
  <si>
    <t>Automatic Oil expeller</t>
  </si>
  <si>
    <t>Production qty for oil</t>
  </si>
  <si>
    <t>Production qty for cake</t>
  </si>
  <si>
    <t>Sale qty for oil</t>
  </si>
  <si>
    <t>Output stock calculation - For oil</t>
  </si>
  <si>
    <t>Sale qty for cake</t>
  </si>
  <si>
    <t>Sales for Oil</t>
  </si>
  <si>
    <t>Sales for Cake</t>
  </si>
  <si>
    <t>Total Sales</t>
  </si>
  <si>
    <t>Value for closing stock</t>
  </si>
  <si>
    <t>Distribution of profits (50%)</t>
  </si>
  <si>
    <t>Running and Manintenance expense @15% of procurement cost</t>
  </si>
  <si>
    <t>Selling expenses @ Rs. 2.5 per kg</t>
  </si>
  <si>
    <t>The selling expense per kg is takes to be variable @ Rs. 2.5 per kg of output sold</t>
  </si>
  <si>
    <t>Electricity</t>
  </si>
  <si>
    <t>Oil</t>
  </si>
  <si>
    <t>Projected Balance sheet</t>
  </si>
  <si>
    <t>Contribution margin</t>
  </si>
  <si>
    <t>Sales mix</t>
  </si>
  <si>
    <t>Proportionate contribution</t>
  </si>
  <si>
    <t>BEP total in Rs.</t>
  </si>
  <si>
    <t>BEP</t>
  </si>
  <si>
    <t>Tractor (for foraying the produce to and from farm)</t>
  </si>
  <si>
    <t>Electrical expense including generator</t>
  </si>
  <si>
    <t>Conveyor belt</t>
  </si>
  <si>
    <t>Fixed running cost</t>
  </si>
  <si>
    <t>Fixed running expense</t>
  </si>
  <si>
    <t>1. assumed that 99% of production is sold for first 5 years, thereafter demand is almost 101% of output but we are able to serve market according to the availablility of output</t>
  </si>
  <si>
    <t>Bucket elevator</t>
  </si>
  <si>
    <t>seed cleaner</t>
  </si>
  <si>
    <t>Oil testing equipment</t>
  </si>
  <si>
    <t>For the first year of operation the break-even capacity comes at 32.13%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</si>
  <si>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Electricity are semi-fixed cost. Rs. 10,00,000 pa is fixed, balance is variable at Rs. 12 per unit usage</t>
  </si>
  <si>
    <t>1. Electricity are semi-fixed cost. Rs. 10,00,000 pa is fixed, balance is variable at Rs. 12 per unit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</si>
</sst>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_(* #,##0.00000_);_(* \(#,##0.00000\);_(* &quot;-&quot;??_);_(@_)"/>
    <numFmt numFmtId="170" formatCode="0.000%"/>
  </numFmts>
  <fonts count="10"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26">
    <xf numFmtId="0" fontId="0" fillId="0" borderId="0" xfId="0"/>
    <xf numFmtId="2" fontId="0" fillId="0" borderId="0" xfId="0" applyNumberFormat="1"/>
    <xf numFmtId="167" fontId="0" fillId="0" borderId="0" xfId="0" applyNumberFormat="1"/>
    <xf numFmtId="0" fontId="3" fillId="0" borderId="0" xfId="0" applyFont="1"/>
    <xf numFmtId="0" fontId="4" fillId="0" borderId="0" xfId="0" applyFont="1"/>
    <xf numFmtId="0" fontId="4" fillId="0" borderId="1" xfId="0" applyFont="1" applyBorder="1"/>
    <xf numFmtId="0" fontId="5" fillId="0" borderId="1" xfId="3" quotePrefix="1" applyFont="1" applyBorder="1"/>
    <xf numFmtId="0" fontId="5" fillId="0" borderId="1" xfId="3" applyFont="1" applyBorder="1"/>
    <xf numFmtId="0" fontId="4" fillId="0" borderId="11" xfId="0" applyFont="1" applyBorder="1" applyAlignment="1">
      <alignment horizontal="left"/>
    </xf>
    <xf numFmtId="0" fontId="4" fillId="0" borderId="11" xfId="0" applyFont="1" applyBorder="1"/>
    <xf numFmtId="0" fontId="4" fillId="0" borderId="9" xfId="0" applyFont="1" applyBorder="1"/>
    <xf numFmtId="43" fontId="4" fillId="0" borderId="9" xfId="1" applyFont="1" applyBorder="1"/>
    <xf numFmtId="43" fontId="4" fillId="0" borderId="9" xfId="1" applyNumberFormat="1" applyFont="1" applyBorder="1"/>
    <xf numFmtId="43" fontId="4" fillId="0" borderId="9" xfId="0" applyNumberFormat="1" applyFont="1" applyBorder="1"/>
    <xf numFmtId="0" fontId="4" fillId="0" borderId="11" xfId="0" applyFont="1" applyBorder="1" applyAlignment="1">
      <alignment wrapText="1"/>
    </xf>
    <xf numFmtId="0" fontId="4" fillId="0" borderId="12" xfId="0" applyFont="1" applyBorder="1" applyAlignment="1">
      <alignment horizontal="left"/>
    </xf>
    <xf numFmtId="0" fontId="4" fillId="0" borderId="12" xfId="0" applyFont="1" applyBorder="1"/>
    <xf numFmtId="0" fontId="4" fillId="0" borderId="0" xfId="0" applyFont="1" applyAlignment="1">
      <alignment horizontal="left"/>
    </xf>
    <xf numFmtId="0" fontId="6" fillId="3" borderId="2" xfId="0" applyFont="1" applyFill="1" applyBorder="1"/>
    <xf numFmtId="0" fontId="4" fillId="3" borderId="3" xfId="0" applyFont="1" applyFill="1" applyBorder="1"/>
    <xf numFmtId="0" fontId="4" fillId="3" borderId="4" xfId="0" applyFont="1" applyFill="1" applyBorder="1"/>
    <xf numFmtId="0" fontId="4" fillId="3" borderId="1" xfId="0" applyFont="1" applyFill="1" applyBorder="1"/>
    <xf numFmtId="0" fontId="4" fillId="3" borderId="1" xfId="0" applyFont="1" applyFill="1" applyBorder="1" applyAlignment="1">
      <alignment wrapText="1"/>
    </xf>
    <xf numFmtId="0" fontId="4" fillId="0" borderId="8" xfId="0" applyFont="1" applyBorder="1"/>
    <xf numFmtId="0" fontId="4" fillId="0" borderId="0" xfId="0" applyFont="1" applyBorder="1"/>
    <xf numFmtId="10" fontId="4" fillId="0" borderId="0" xfId="2" applyNumberFormat="1" applyFont="1"/>
    <xf numFmtId="2" fontId="4" fillId="0" borderId="0" xfId="0" applyNumberFormat="1" applyFont="1"/>
    <xf numFmtId="0" fontId="4" fillId="0" borderId="2" xfId="0" applyFont="1" applyBorder="1"/>
    <xf numFmtId="0" fontId="4" fillId="0" borderId="3" xfId="0" applyFont="1" applyBorder="1"/>
    <xf numFmtId="43" fontId="4" fillId="0" borderId="4" xfId="0" applyNumberFormat="1" applyFont="1" applyBorder="1"/>
    <xf numFmtId="168" fontId="4" fillId="0" borderId="0" xfId="0" applyNumberFormat="1" applyFont="1"/>
    <xf numFmtId="0" fontId="4" fillId="3" borderId="2" xfId="0" applyFont="1" applyFill="1" applyBorder="1"/>
    <xf numFmtId="43" fontId="4" fillId="0" borderId="0" xfId="0" applyNumberFormat="1" applyFont="1"/>
    <xf numFmtId="164" fontId="4" fillId="0" borderId="9" xfId="1" applyNumberFormat="1" applyFont="1" applyBorder="1"/>
    <xf numFmtId="0" fontId="4" fillId="0" borderId="5" xfId="0" applyFont="1" applyBorder="1"/>
    <xf numFmtId="0" fontId="4" fillId="0" borderId="6" xfId="0" applyFont="1" applyBorder="1" applyAlignment="1">
      <alignment horizontal="left"/>
    </xf>
    <xf numFmtId="0" fontId="4" fillId="0" borderId="6" xfId="0" applyFont="1" applyBorder="1"/>
    <xf numFmtId="164" fontId="4" fillId="0" borderId="6" xfId="1" applyNumberFormat="1" applyFont="1" applyBorder="1"/>
    <xf numFmtId="164" fontId="4" fillId="0" borderId="7" xfId="1" applyNumberFormat="1" applyFont="1" applyBorder="1" applyAlignment="1">
      <alignment horizontal="left"/>
    </xf>
    <xf numFmtId="0" fontId="3" fillId="0" borderId="2" xfId="0" applyFont="1" applyBorder="1"/>
    <xf numFmtId="0" fontId="3" fillId="0" borderId="3" xfId="0" applyFont="1" applyBorder="1"/>
    <xf numFmtId="164" fontId="3" fillId="0" borderId="4" xfId="0" applyNumberFormat="1" applyFont="1" applyBorder="1"/>
    <xf numFmtId="0" fontId="4" fillId="0" borderId="4" xfId="0" applyFont="1" applyBorder="1"/>
    <xf numFmtId="0" fontId="4" fillId="0" borderId="0" xfId="0" applyFont="1" applyBorder="1" applyAlignment="1">
      <alignment horizontal="left"/>
    </xf>
    <xf numFmtId="164" fontId="4" fillId="0" borderId="0" xfId="1" applyNumberFormat="1" applyFont="1" applyBorder="1"/>
    <xf numFmtId="164" fontId="4" fillId="0" borderId="9" xfId="1" applyNumberFormat="1" applyFont="1" applyBorder="1" applyAlignment="1">
      <alignment horizontal="left"/>
    </xf>
    <xf numFmtId="0" fontId="4" fillId="0" borderId="13" xfId="0" applyFont="1" applyBorder="1"/>
    <xf numFmtId="0" fontId="4" fillId="0" borderId="14" xfId="0" applyFont="1" applyBorder="1"/>
    <xf numFmtId="164" fontId="4" fillId="0" borderId="0" xfId="0" applyNumberFormat="1" applyFont="1"/>
    <xf numFmtId="164" fontId="4" fillId="0" borderId="1" xfId="1" applyNumberFormat="1" applyFont="1" applyBorder="1"/>
    <xf numFmtId="0" fontId="4" fillId="0" borderId="1" xfId="0" applyFont="1" applyFill="1" applyBorder="1"/>
    <xf numFmtId="9" fontId="4" fillId="0" borderId="1" xfId="0" applyNumberFormat="1" applyFont="1" applyBorder="1"/>
    <xf numFmtId="1" fontId="4" fillId="0" borderId="1" xfId="0" applyNumberFormat="1" applyFont="1" applyBorder="1"/>
    <xf numFmtId="164" fontId="4" fillId="0" borderId="0" xfId="1" applyNumberFormat="1" applyFont="1"/>
    <xf numFmtId="0" fontId="4" fillId="0" borderId="1" xfId="0"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164" fontId="4" fillId="0" borderId="1" xfId="0" applyNumberFormat="1" applyFont="1" applyBorder="1" applyAlignment="1">
      <alignment vertical="top"/>
    </xf>
    <xf numFmtId="165" fontId="4" fillId="0" borderId="1" xfId="0" applyNumberFormat="1" applyFont="1" applyBorder="1" applyAlignment="1">
      <alignment vertical="top" wrapText="1"/>
    </xf>
    <xf numFmtId="0" fontId="4" fillId="3" borderId="1" xfId="0" applyFont="1" applyFill="1" applyBorder="1" applyAlignment="1">
      <alignment horizontal="center"/>
    </xf>
    <xf numFmtId="0" fontId="4" fillId="0" borderId="0" xfId="0" applyFont="1" applyAlignment="1"/>
    <xf numFmtId="164" fontId="4" fillId="0" borderId="1" xfId="0" applyNumberFormat="1" applyFont="1" applyBorder="1"/>
    <xf numFmtId="0" fontId="4" fillId="3" borderId="1" xfId="0" applyFont="1" applyFill="1" applyBorder="1" applyAlignment="1">
      <alignment horizontal="center" vertical="center"/>
    </xf>
    <xf numFmtId="0" fontId="4" fillId="0" borderId="0" xfId="0" applyFont="1" applyAlignment="1">
      <alignment wrapText="1"/>
    </xf>
    <xf numFmtId="0" fontId="3" fillId="0" borderId="6" xfId="0" applyFont="1" applyBorder="1"/>
    <xf numFmtId="0" fontId="4" fillId="0" borderId="15" xfId="0" applyFont="1" applyBorder="1"/>
    <xf numFmtId="0" fontId="4" fillId="0" borderId="7" xfId="0" applyFont="1" applyBorder="1"/>
    <xf numFmtId="164" fontId="4" fillId="0" borderId="11" xfId="0" applyNumberFormat="1" applyFont="1" applyBorder="1"/>
    <xf numFmtId="43" fontId="4" fillId="0" borderId="11" xfId="0" applyNumberFormat="1" applyFont="1" applyBorder="1"/>
    <xf numFmtId="0" fontId="4" fillId="0" borderId="0" xfId="0" applyFont="1" applyFill="1" applyBorder="1"/>
    <xf numFmtId="164" fontId="4" fillId="0" borderId="11" xfId="1" applyNumberFormat="1" applyFont="1" applyBorder="1"/>
    <xf numFmtId="164" fontId="4" fillId="0" borderId="9" xfId="0" applyNumberFormat="1" applyFont="1" applyBorder="1"/>
    <xf numFmtId="0" fontId="3" fillId="0" borderId="0" xfId="0" applyFont="1" applyBorder="1"/>
    <xf numFmtId="164" fontId="4" fillId="0" borderId="8" xfId="0" applyNumberFormat="1" applyFont="1" applyFill="1" applyBorder="1"/>
    <xf numFmtId="0" fontId="4" fillId="0" borderId="10" xfId="0" applyFont="1" applyBorder="1"/>
    <xf numFmtId="0" fontId="4" fillId="3" borderId="8" xfId="0" applyFont="1" applyFill="1" applyBorder="1"/>
    <xf numFmtId="0" fontId="4" fillId="3" borderId="0" xfId="0" applyFont="1" applyFill="1" applyBorder="1"/>
    <xf numFmtId="0" fontId="4" fillId="3" borderId="11" xfId="0" applyFont="1" applyFill="1" applyBorder="1"/>
    <xf numFmtId="0" fontId="4" fillId="3" borderId="9" xfId="0" applyFont="1" applyFill="1" applyBorder="1"/>
    <xf numFmtId="164" fontId="4" fillId="3" borderId="9" xfId="0" applyNumberFormat="1" applyFont="1" applyFill="1" applyBorder="1"/>
    <xf numFmtId="0" fontId="6" fillId="0" borderId="0" xfId="0" applyFont="1"/>
    <xf numFmtId="164" fontId="4" fillId="0" borderId="10" xfId="0" applyNumberFormat="1" applyFont="1" applyBorder="1"/>
    <xf numFmtId="164" fontId="4" fillId="0" borderId="4" xfId="0" applyNumberFormat="1" applyFont="1" applyBorder="1"/>
    <xf numFmtId="9" fontId="4" fillId="0" borderId="0" xfId="0" applyNumberFormat="1" applyFont="1"/>
    <xf numFmtId="0" fontId="4" fillId="0" borderId="1" xfId="0" applyFont="1" applyBorder="1" applyAlignment="1">
      <alignment horizontal="right"/>
    </xf>
    <xf numFmtId="0" fontId="4" fillId="0" borderId="1" xfId="0" applyFont="1" applyBorder="1" applyAlignment="1">
      <alignment horizontal="left"/>
    </xf>
    <xf numFmtId="43" fontId="4" fillId="0" borderId="1" xfId="0" applyNumberFormat="1" applyFont="1" applyBorder="1"/>
    <xf numFmtId="0" fontId="4" fillId="0" borderId="0" xfId="0" applyFont="1" applyAlignment="1">
      <alignment horizontal="right"/>
    </xf>
    <xf numFmtId="43" fontId="4" fillId="0" borderId="1" xfId="1" applyFont="1" applyBorder="1"/>
    <xf numFmtId="0" fontId="4" fillId="0" borderId="0" xfId="0" quotePrefix="1" applyFont="1"/>
    <xf numFmtId="10" fontId="4" fillId="2" borderId="0" xfId="0" applyNumberFormat="1" applyFont="1" applyFill="1"/>
    <xf numFmtId="0" fontId="4" fillId="2" borderId="0" xfId="0" applyFont="1" applyFill="1" applyAlignment="1">
      <alignment horizontal="right"/>
    </xf>
    <xf numFmtId="2" fontId="4" fillId="0" borderId="1" xfId="0" applyNumberFormat="1" applyFont="1" applyBorder="1"/>
    <xf numFmtId="0" fontId="7" fillId="0" borderId="0" xfId="0" applyFont="1"/>
    <xf numFmtId="0" fontId="8" fillId="0" borderId="0" xfId="0" applyFont="1"/>
    <xf numFmtId="0" fontId="7" fillId="0" borderId="1" xfId="0" applyFont="1" applyBorder="1"/>
    <xf numFmtId="164" fontId="7" fillId="0" borderId="1" xfId="1" applyNumberFormat="1" applyFont="1" applyBorder="1"/>
    <xf numFmtId="164" fontId="9" fillId="0" borderId="0" xfId="1" applyNumberFormat="1" applyFont="1"/>
    <xf numFmtId="10" fontId="9" fillId="0" borderId="0" xfId="1" applyNumberFormat="1" applyFont="1"/>
    <xf numFmtId="0" fontId="9" fillId="0" borderId="0" xfId="0" applyFont="1"/>
    <xf numFmtId="166" fontId="9" fillId="0" borderId="0" xfId="1" applyNumberFormat="1" applyFont="1"/>
    <xf numFmtId="164" fontId="7" fillId="0" borderId="0" xfId="0" applyNumberFormat="1" applyFont="1"/>
    <xf numFmtId="0" fontId="7" fillId="3" borderId="1" xfId="0" applyFont="1" applyFill="1" applyBorder="1" applyAlignment="1">
      <alignment horizontal="center"/>
    </xf>
    <xf numFmtId="167" fontId="4" fillId="0" borderId="0" xfId="0" applyNumberFormat="1" applyFont="1"/>
    <xf numFmtId="0" fontId="4" fillId="3" borderId="1" xfId="0" applyFont="1" applyFill="1" applyBorder="1" applyAlignment="1">
      <alignment horizontal="center"/>
    </xf>
    <xf numFmtId="0" fontId="6" fillId="3" borderId="0" xfId="0" applyFont="1" applyFill="1"/>
    <xf numFmtId="0" fontId="4" fillId="3" borderId="0" xfId="0" applyFont="1" applyFill="1"/>
    <xf numFmtId="0" fontId="4" fillId="0" borderId="1" xfId="0" quotePrefix="1" applyFont="1" applyBorder="1"/>
    <xf numFmtId="168" fontId="4" fillId="0" borderId="1" xfId="0" applyNumberFormat="1" applyFont="1" applyBorder="1"/>
    <xf numFmtId="10" fontId="4" fillId="0" borderId="1" xfId="2" applyNumberFormat="1" applyFont="1" applyBorder="1"/>
    <xf numFmtId="0" fontId="3" fillId="3" borderId="1" xfId="0" applyFont="1" applyFill="1" applyBorder="1" applyAlignment="1">
      <alignment horizontal="center"/>
    </xf>
    <xf numFmtId="0" fontId="3" fillId="3" borderId="1" xfId="0" applyFont="1" applyFill="1" applyBorder="1"/>
    <xf numFmtId="43" fontId="4" fillId="0" borderId="9" xfId="1" applyNumberFormat="1" applyFont="1" applyBorder="1" applyAlignment="1">
      <alignment horizontal="right"/>
    </xf>
    <xf numFmtId="169" fontId="4" fillId="0" borderId="1" xfId="0" applyNumberFormat="1" applyFont="1" applyBorder="1"/>
    <xf numFmtId="170" fontId="4" fillId="0" borderId="1" xfId="2" applyNumberFormat="1" applyFont="1" applyBorder="1"/>
    <xf numFmtId="10" fontId="4" fillId="0" borderId="0" xfId="2" applyNumberFormat="1" applyFont="1" applyBorder="1"/>
    <xf numFmtId="10" fontId="4" fillId="0" borderId="0" xfId="0" applyNumberFormat="1" applyFont="1"/>
    <xf numFmtId="0" fontId="4" fillId="4" borderId="0" xfId="0" applyFont="1" applyFill="1"/>
    <xf numFmtId="164" fontId="4" fillId="4" borderId="0" xfId="0" applyNumberFormat="1" applyFont="1" applyFill="1"/>
    <xf numFmtId="43" fontId="4" fillId="0" borderId="10" xfId="0" applyNumberFormat="1" applyFont="1" applyBorder="1"/>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4" fillId="0" borderId="1" xfId="0" applyFont="1" applyBorder="1" applyAlignment="1">
      <alignment horizontal="left"/>
    </xf>
    <xf numFmtId="0" fontId="4" fillId="0" borderId="0" xfId="0" applyFont="1" applyAlignment="1">
      <alignment horizontal="left" wrapText="1"/>
    </xf>
    <xf numFmtId="0" fontId="0" fillId="0" borderId="0" xfId="0" applyAlignment="1">
      <alignment horizontal="center"/>
    </xf>
    <xf numFmtId="0" fontId="4"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B5" sqref="B5"/>
    </sheetView>
  </sheetViews>
  <sheetFormatPr defaultRowHeight="17" x14ac:dyDescent="0.6"/>
  <cols>
    <col min="1" max="1" width="57.90625" style="4" bestFit="1" customWidth="1"/>
    <col min="2" max="2" width="14.453125" style="4" bestFit="1" customWidth="1"/>
    <col min="3" max="16384" width="8.7265625" style="4"/>
  </cols>
  <sheetData>
    <row r="1" spans="1:2" x14ac:dyDescent="0.6">
      <c r="A1" s="3" t="s">
        <v>226</v>
      </c>
    </row>
    <row r="3" spans="1:2" x14ac:dyDescent="0.6">
      <c r="A3" s="111" t="s">
        <v>227</v>
      </c>
      <c r="B3" s="111" t="s">
        <v>228</v>
      </c>
    </row>
    <row r="4" spans="1:2" x14ac:dyDescent="0.6">
      <c r="A4" s="5" t="str">
        <f>'[1]Ann 1'!A3</f>
        <v>Annexure 1 - Estimated cost of the project</v>
      </c>
      <c r="B4" s="6" t="s">
        <v>229</v>
      </c>
    </row>
    <row r="5" spans="1:2" x14ac:dyDescent="0.6">
      <c r="A5" s="5" t="str">
        <f>'[1]Ann 2'!A1</f>
        <v>Annexure 2 - Means of Finance</v>
      </c>
      <c r="B5" s="6" t="s">
        <v>230</v>
      </c>
    </row>
    <row r="6" spans="1:2" x14ac:dyDescent="0.6">
      <c r="A6" s="5" t="str">
        <f>'Ann 3'!A1</f>
        <v>Annexure 3 - Complete Estimate of Civil and Plant and Machinery</v>
      </c>
      <c r="B6" s="6" t="s">
        <v>255</v>
      </c>
    </row>
    <row r="7" spans="1:2" x14ac:dyDescent="0.6">
      <c r="A7" s="5" t="str">
        <f>'[1]Ann 4'!A1</f>
        <v>Annexure 4 - Estimated Cost of Production</v>
      </c>
      <c r="B7" s="6" t="s">
        <v>231</v>
      </c>
    </row>
    <row r="8" spans="1:2" x14ac:dyDescent="0.6">
      <c r="A8" s="5" t="str">
        <f>'[1]Ann 5'!A1</f>
        <v>Annexure 5- Projected balance sheet</v>
      </c>
      <c r="B8" s="6" t="s">
        <v>232</v>
      </c>
    </row>
    <row r="9" spans="1:2" x14ac:dyDescent="0.6">
      <c r="A9" s="5" t="str">
        <f>'Ann 8'!A1</f>
        <v>Annexure 8 - Details of Manpower</v>
      </c>
      <c r="B9" s="6" t="s">
        <v>233</v>
      </c>
    </row>
    <row r="10" spans="1:2" x14ac:dyDescent="0.6">
      <c r="A10" s="5" t="str">
        <f>'Ann 9'!A1</f>
        <v>Annexure 9 - Computation of Depreciation</v>
      </c>
      <c r="B10" s="6" t="s">
        <v>234</v>
      </c>
    </row>
    <row r="11" spans="1:2" x14ac:dyDescent="0.6">
      <c r="A11" s="5" t="str">
        <f>'Ann 10'!A1</f>
        <v>Annexure 10 - Calculation of Income tax</v>
      </c>
      <c r="B11" s="6" t="s">
        <v>235</v>
      </c>
    </row>
    <row r="12" spans="1:2" x14ac:dyDescent="0.6">
      <c r="A12" s="5" t="str">
        <f>'[1]Ann 11'!A1</f>
        <v>Annexure 11- Break even analysis (At maximum capacity utilization)</v>
      </c>
      <c r="B12" s="6" t="s">
        <v>236</v>
      </c>
    </row>
    <row r="13" spans="1:2" x14ac:dyDescent="0.6">
      <c r="A13" s="5" t="str">
        <f>'Ann 13'!A1</f>
        <v>Annexure 13 - Repayment schedule</v>
      </c>
      <c r="B13" s="6" t="s">
        <v>237</v>
      </c>
    </row>
    <row r="14" spans="1:2" x14ac:dyDescent="0.6">
      <c r="A14" s="5" t="str">
        <f>'Ann 14'!A1</f>
        <v>Annexure 14 - Cash flow statement</v>
      </c>
      <c r="B14" s="6" t="s">
        <v>270</v>
      </c>
    </row>
    <row r="15" spans="1:2" x14ac:dyDescent="0.6">
      <c r="A15" s="5" t="str">
        <f>[1]Assumptions!B1</f>
        <v>Assumptions</v>
      </c>
      <c r="B15" s="7" t="s">
        <v>238</v>
      </c>
    </row>
    <row r="16" spans="1:2" x14ac:dyDescent="0.6">
      <c r="A16" s="5" t="str">
        <f>[1]Budgets!A1</f>
        <v>Sales Budget</v>
      </c>
      <c r="B16" s="7" t="s">
        <v>239</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BFC881B5-C5C9-47C7-8FD8-30AEBF151D5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8"/>
  <sheetViews>
    <sheetView topLeftCell="A21" workbookViewId="0"/>
  </sheetViews>
  <sheetFormatPr defaultRowHeight="17" x14ac:dyDescent="0.6"/>
  <cols>
    <col min="1" max="1" width="8.7265625" style="4"/>
    <col min="2" max="2" width="23.54296875" style="4" bestFit="1" customWidth="1"/>
    <col min="3" max="3" width="14.6328125" style="4" bestFit="1" customWidth="1"/>
    <col min="4" max="4" width="13.54296875" style="4" bestFit="1" customWidth="1"/>
    <col min="5" max="5" width="13.6328125" style="4" bestFit="1" customWidth="1"/>
    <col min="6" max="14" width="8.7265625" style="4"/>
    <col min="15" max="15" width="13.6328125" style="4" bestFit="1" customWidth="1"/>
    <col min="16" max="16" width="12.54296875" style="4" bestFit="1" customWidth="1"/>
    <col min="17" max="16384" width="8.7265625" style="4"/>
  </cols>
  <sheetData>
    <row r="1" spans="1:7" x14ac:dyDescent="0.6">
      <c r="A1" s="3" t="s">
        <v>71</v>
      </c>
    </row>
    <row r="3" spans="1:7" x14ac:dyDescent="0.6">
      <c r="A3" s="105" t="s">
        <v>72</v>
      </c>
      <c r="B3" s="106"/>
      <c r="C3" s="106"/>
      <c r="D3" s="106"/>
      <c r="E3" s="106"/>
    </row>
    <row r="5" spans="1:7" x14ac:dyDescent="0.6">
      <c r="B5" s="4" t="s">
        <v>50</v>
      </c>
      <c r="E5" s="53">
        <f>'Ann 4'!C23/70%</f>
        <v>413325000</v>
      </c>
    </row>
    <row r="6" spans="1:7" x14ac:dyDescent="0.6">
      <c r="B6" s="4" t="s">
        <v>73</v>
      </c>
    </row>
    <row r="7" spans="1:7" x14ac:dyDescent="0.6">
      <c r="B7" s="89" t="s">
        <v>194</v>
      </c>
      <c r="D7" s="53">
        <f>'Ann 4'!C7/70%</f>
        <v>325000000</v>
      </c>
    </row>
    <row r="8" spans="1:7" x14ac:dyDescent="0.6">
      <c r="B8" s="89" t="s">
        <v>74</v>
      </c>
      <c r="D8" s="48">
        <f>D7*1.5%</f>
        <v>4875000</v>
      </c>
    </row>
    <row r="9" spans="1:7" x14ac:dyDescent="0.6">
      <c r="B9" s="89" t="s">
        <v>75</v>
      </c>
      <c r="D9" s="48">
        <f>'Ann 4'!C28</f>
        <v>200000</v>
      </c>
      <c r="E9" s="48"/>
    </row>
    <row r="10" spans="1:7" x14ac:dyDescent="0.6">
      <c r="B10" s="89" t="s">
        <v>79</v>
      </c>
      <c r="D10" s="48">
        <f>250000+'Ann 4'!K42</f>
        <v>1456086.0765625001</v>
      </c>
      <c r="E10" s="48">
        <f>SUM(D7:D10)</f>
        <v>331531086.07656252</v>
      </c>
      <c r="G10" s="32"/>
    </row>
    <row r="11" spans="1:7" x14ac:dyDescent="0.6">
      <c r="B11" s="4" t="s">
        <v>76</v>
      </c>
      <c r="E11" s="48">
        <f>E5-E10</f>
        <v>81793913.923437476</v>
      </c>
    </row>
    <row r="12" spans="1:7" x14ac:dyDescent="0.6">
      <c r="B12" s="4" t="s">
        <v>77</v>
      </c>
    </row>
    <row r="13" spans="1:7" x14ac:dyDescent="0.6">
      <c r="B13" s="4" t="s">
        <v>78</v>
      </c>
      <c r="E13" s="48">
        <f>'Ann 4'!C17</f>
        <v>1696320</v>
      </c>
    </row>
    <row r="14" spans="1:7" x14ac:dyDescent="0.6">
      <c r="B14" s="4" t="s">
        <v>80</v>
      </c>
      <c r="E14" s="48">
        <f>'Ann 9'!F12</f>
        <v>850000</v>
      </c>
    </row>
    <row r="15" spans="1:7" x14ac:dyDescent="0.6">
      <c r="B15" s="4" t="s">
        <v>300</v>
      </c>
      <c r="E15" s="48">
        <v>1000000</v>
      </c>
    </row>
    <row r="16" spans="1:7" x14ac:dyDescent="0.6">
      <c r="B16" s="4" t="s">
        <v>312</v>
      </c>
      <c r="E16" s="48">
        <f>'Ann 4'!C10</f>
        <v>1200000</v>
      </c>
    </row>
    <row r="17" spans="2:5" x14ac:dyDescent="0.6">
      <c r="B17" s="4" t="s">
        <v>222</v>
      </c>
      <c r="E17" s="48">
        <f>SUM('Ann 13'!E9:E12)*100000</f>
        <v>319696.15384615381</v>
      </c>
    </row>
    <row r="18" spans="2:5" x14ac:dyDescent="0.6">
      <c r="B18" s="4" t="s">
        <v>81</v>
      </c>
      <c r="E18" s="48">
        <f>SUM(E13:E17)</f>
        <v>5066016.153846154</v>
      </c>
    </row>
    <row r="20" spans="2:5" x14ac:dyDescent="0.6">
      <c r="B20" s="110" t="s">
        <v>3</v>
      </c>
      <c r="C20" s="110" t="s">
        <v>301</v>
      </c>
      <c r="D20" s="110" t="s">
        <v>274</v>
      </c>
      <c r="E20" s="117"/>
    </row>
    <row r="21" spans="2:5" x14ac:dyDescent="0.6">
      <c r="B21" s="5" t="s">
        <v>86</v>
      </c>
      <c r="C21" s="5">
        <f>Budgets!C21</f>
        <v>160</v>
      </c>
      <c r="D21" s="5">
        <f>Budgets!E21</f>
        <v>39</v>
      </c>
      <c r="E21" s="117"/>
    </row>
    <row r="22" spans="2:5" x14ac:dyDescent="0.6">
      <c r="B22" s="107" t="s">
        <v>259</v>
      </c>
      <c r="C22" s="5">
        <f>Budgets!D21*50%/90%</f>
        <v>36.111111111111107</v>
      </c>
      <c r="D22" s="5">
        <f>Budgets!D21*40%</f>
        <v>26</v>
      </c>
      <c r="E22" s="117"/>
    </row>
    <row r="23" spans="2:5" x14ac:dyDescent="0.6">
      <c r="B23" s="107" t="s">
        <v>85</v>
      </c>
      <c r="C23" s="5">
        <f>C22*10%</f>
        <v>3.6111111111111107</v>
      </c>
      <c r="D23" s="5">
        <f>D22*15%</f>
        <v>3.9</v>
      </c>
      <c r="E23" s="117"/>
    </row>
    <row r="24" spans="2:5" x14ac:dyDescent="0.6">
      <c r="B24" s="107" t="s">
        <v>84</v>
      </c>
      <c r="C24" s="108">
        <f>D9/Budgets!B21</f>
        <v>0.04</v>
      </c>
      <c r="D24" s="108">
        <f>D9/Budgets!B18</f>
        <v>0.04</v>
      </c>
      <c r="E24" s="117"/>
    </row>
    <row r="25" spans="2:5" x14ac:dyDescent="0.6">
      <c r="B25" s="5" t="s">
        <v>83</v>
      </c>
      <c r="C25" s="5">
        <v>2.5</v>
      </c>
      <c r="D25" s="5">
        <v>2.5</v>
      </c>
      <c r="E25" s="117"/>
    </row>
    <row r="26" spans="2:5" x14ac:dyDescent="0.6">
      <c r="B26" s="5" t="s">
        <v>258</v>
      </c>
      <c r="C26" s="5">
        <v>2</v>
      </c>
      <c r="D26" s="5">
        <v>2</v>
      </c>
      <c r="E26" s="118"/>
    </row>
    <row r="27" spans="2:5" x14ac:dyDescent="0.6">
      <c r="B27" s="5" t="s">
        <v>82</v>
      </c>
      <c r="C27" s="108">
        <f>D10/Budgets!B21</f>
        <v>0.2912172153125</v>
      </c>
      <c r="D27" s="113">
        <f>D10/Budgets!B21</f>
        <v>0.2912172153125</v>
      </c>
      <c r="E27" s="117"/>
    </row>
    <row r="28" spans="2:5" x14ac:dyDescent="0.6">
      <c r="B28" s="5" t="s">
        <v>221</v>
      </c>
      <c r="C28" s="5">
        <f>C21-SUM(C22:C27)</f>
        <v>115.44656056246529</v>
      </c>
      <c r="D28" s="5">
        <f>D21-SUM(D22:D27)</f>
        <v>4.2687827846875024</v>
      </c>
      <c r="E28" s="117"/>
    </row>
    <row r="29" spans="2:5" x14ac:dyDescent="0.6">
      <c r="B29" s="5" t="s">
        <v>303</v>
      </c>
      <c r="C29" s="114">
        <f>C28/C21</f>
        <v>0.72154100351540806</v>
      </c>
      <c r="D29" s="114">
        <f>D28/D21</f>
        <v>0.10945596883814109</v>
      </c>
      <c r="E29" s="117"/>
    </row>
    <row r="30" spans="2:5" x14ac:dyDescent="0.6">
      <c r="B30" s="5" t="s">
        <v>304</v>
      </c>
      <c r="C30" s="109">
        <f>Budgets!B6/(Budgets!B7+Budgets!B6)</f>
        <v>0.44444444444444442</v>
      </c>
      <c r="D30" s="109">
        <f>1-C30</f>
        <v>0.55555555555555558</v>
      </c>
      <c r="E30" s="117"/>
    </row>
    <row r="31" spans="2:5" x14ac:dyDescent="0.6">
      <c r="B31" s="5" t="s">
        <v>305</v>
      </c>
      <c r="C31" s="109">
        <f>C30*C29</f>
        <v>0.32068489045129245</v>
      </c>
      <c r="D31" s="109">
        <f>D30*D29</f>
        <v>6.0808871576745048E-2</v>
      </c>
      <c r="E31" s="116">
        <f>SUM(C31:D31)</f>
        <v>0.38149376202803748</v>
      </c>
    </row>
    <row r="32" spans="2:5" x14ac:dyDescent="0.6">
      <c r="B32" s="24"/>
      <c r="C32" s="115"/>
      <c r="D32" s="115"/>
    </row>
    <row r="33" spans="1:5" x14ac:dyDescent="0.6">
      <c r="B33" s="4" t="s">
        <v>306</v>
      </c>
      <c r="C33" s="32">
        <f>E18/E31</f>
        <v>13279420.682831068</v>
      </c>
    </row>
    <row r="34" spans="1:5" x14ac:dyDescent="0.6">
      <c r="B34" s="24"/>
      <c r="C34" s="115"/>
      <c r="D34" s="115"/>
    </row>
    <row r="35" spans="1:5" x14ac:dyDescent="0.6">
      <c r="B35" s="24" t="s">
        <v>307</v>
      </c>
      <c r="C35" s="115">
        <f>C33*10/(Budgets!B12/Budgets!B5)</f>
        <v>0.32128278431817736</v>
      </c>
      <c r="D35" s="115"/>
    </row>
    <row r="36" spans="1:5" x14ac:dyDescent="0.6">
      <c r="C36" s="25"/>
    </row>
    <row r="37" spans="1:5" ht="49" customHeight="1" x14ac:dyDescent="0.6">
      <c r="A37" s="123" t="s">
        <v>265</v>
      </c>
      <c r="B37" s="123"/>
      <c r="C37" s="123"/>
      <c r="D37" s="123"/>
      <c r="E37" s="123"/>
    </row>
    <row r="38" spans="1:5" ht="67" customHeight="1" x14ac:dyDescent="0.6">
      <c r="A38" s="123" t="s">
        <v>317</v>
      </c>
      <c r="B38" s="123"/>
      <c r="C38" s="123"/>
      <c r="D38" s="123"/>
      <c r="E38" s="123"/>
    </row>
  </sheetData>
  <mergeCells count="2">
    <mergeCell ref="A37:E37"/>
    <mergeCell ref="A38:E38"/>
  </mergeCells>
  <pageMargins left="0.7" right="0.7" top="0.75" bottom="0.75" header="0.3" footer="0.3"/>
  <pageSetup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87</v>
      </c>
    </row>
    <row r="3" spans="1:11" x14ac:dyDescent="0.35">
      <c r="C3" s="124" t="s">
        <v>88</v>
      </c>
      <c r="D3" s="124"/>
      <c r="E3" s="124"/>
      <c r="F3" s="124"/>
      <c r="G3" s="124"/>
      <c r="H3" s="124"/>
      <c r="I3" s="124"/>
      <c r="J3" s="124"/>
      <c r="K3" s="124"/>
    </row>
    <row r="4" spans="1:11" x14ac:dyDescent="0.35">
      <c r="C4">
        <v>1</v>
      </c>
      <c r="D4">
        <v>2</v>
      </c>
      <c r="E4">
        <v>3</v>
      </c>
      <c r="F4">
        <v>4</v>
      </c>
      <c r="G4">
        <v>5</v>
      </c>
      <c r="H4">
        <v>6</v>
      </c>
      <c r="I4">
        <v>7</v>
      </c>
      <c r="J4">
        <v>8</v>
      </c>
      <c r="K4">
        <v>9</v>
      </c>
    </row>
    <row r="5" spans="1:11" x14ac:dyDescent="0.35">
      <c r="A5" t="s">
        <v>89</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90</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91</v>
      </c>
    </row>
  </sheetData>
  <mergeCells count="1">
    <mergeCell ref="C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36" sqref="D36"/>
    </sheetView>
  </sheetViews>
  <sheetFormatPr defaultRowHeight="17" x14ac:dyDescent="0.6"/>
  <cols>
    <col min="1" max="1" width="4.54296875" style="4" bestFit="1" customWidth="1"/>
    <col min="2" max="2" width="7.36328125" style="4" bestFit="1" customWidth="1"/>
    <col min="3" max="3" width="17.81640625" style="4" bestFit="1" customWidth="1"/>
    <col min="4" max="4" width="17.36328125" style="4" bestFit="1" customWidth="1"/>
    <col min="5" max="5" width="7.26953125" style="4" bestFit="1" customWidth="1"/>
    <col min="6" max="16384" width="8.7265625" style="4"/>
  </cols>
  <sheetData>
    <row r="1" spans="1:7" x14ac:dyDescent="0.6">
      <c r="A1" s="3" t="s">
        <v>97</v>
      </c>
    </row>
    <row r="3" spans="1:7" x14ac:dyDescent="0.6">
      <c r="A3" s="80" t="s">
        <v>98</v>
      </c>
    </row>
    <row r="4" spans="1:7" x14ac:dyDescent="0.6">
      <c r="A4" s="4" t="s">
        <v>99</v>
      </c>
      <c r="D4" s="26">
        <f>'Ann 2'!C6</f>
        <v>53.8</v>
      </c>
    </row>
    <row r="5" spans="1:7" x14ac:dyDescent="0.6">
      <c r="A5" s="4" t="s">
        <v>100</v>
      </c>
      <c r="D5" s="90">
        <v>0.06</v>
      </c>
    </row>
    <row r="6" spans="1:7" x14ac:dyDescent="0.6">
      <c r="A6" s="4" t="s">
        <v>101</v>
      </c>
      <c r="D6" s="91" t="s">
        <v>161</v>
      </c>
    </row>
    <row r="8" spans="1:7" x14ac:dyDescent="0.6">
      <c r="A8" s="21" t="s">
        <v>70</v>
      </c>
      <c r="B8" s="21" t="s">
        <v>102</v>
      </c>
      <c r="C8" s="21" t="s">
        <v>103</v>
      </c>
      <c r="D8" s="21" t="s">
        <v>105</v>
      </c>
      <c r="E8" s="21" t="s">
        <v>104</v>
      </c>
    </row>
    <row r="9" spans="1:7" x14ac:dyDescent="0.6">
      <c r="A9" s="125">
        <v>1</v>
      </c>
      <c r="B9" s="5">
        <v>1</v>
      </c>
      <c r="C9" s="92">
        <f>$D$4</f>
        <v>53.8</v>
      </c>
      <c r="D9" s="5">
        <v>0</v>
      </c>
      <c r="E9" s="5">
        <f>C9*$D$5/4</f>
        <v>0.80699999999999994</v>
      </c>
    </row>
    <row r="10" spans="1:7" x14ac:dyDescent="0.6">
      <c r="A10" s="125"/>
      <c r="B10" s="5">
        <v>2</v>
      </c>
      <c r="C10" s="92">
        <f>$D$4</f>
        <v>53.8</v>
      </c>
      <c r="D10" s="5">
        <v>0</v>
      </c>
      <c r="E10" s="5">
        <f t="shared" ref="E10:E36" si="0">C10*$D$5/4</f>
        <v>0.80699999999999994</v>
      </c>
      <c r="G10" s="93"/>
    </row>
    <row r="11" spans="1:7" x14ac:dyDescent="0.6">
      <c r="A11" s="125"/>
      <c r="B11" s="5">
        <v>3</v>
      </c>
      <c r="C11" s="92">
        <f>$D$4</f>
        <v>53.8</v>
      </c>
      <c r="D11" s="5">
        <f>D4/26</f>
        <v>2.069230769230769</v>
      </c>
      <c r="E11" s="5">
        <f t="shared" si="0"/>
        <v>0.80699999999999994</v>
      </c>
    </row>
    <row r="12" spans="1:7" x14ac:dyDescent="0.6">
      <c r="A12" s="125"/>
      <c r="B12" s="5">
        <v>4</v>
      </c>
      <c r="C12" s="5">
        <f t="shared" ref="C12:C17" si="1">C11-D11</f>
        <v>51.730769230769226</v>
      </c>
      <c r="D12" s="5">
        <f>D11</f>
        <v>2.069230769230769</v>
      </c>
      <c r="E12" s="5">
        <f t="shared" si="0"/>
        <v>0.77596153846153837</v>
      </c>
    </row>
    <row r="13" spans="1:7" x14ac:dyDescent="0.6">
      <c r="A13" s="125">
        <v>2</v>
      </c>
      <c r="B13" s="5">
        <v>1</v>
      </c>
      <c r="C13" s="5">
        <f t="shared" si="1"/>
        <v>49.661538461538456</v>
      </c>
      <c r="D13" s="5">
        <f t="shared" ref="D13:D35" si="2">D12</f>
        <v>2.069230769230769</v>
      </c>
      <c r="E13" s="5">
        <f t="shared" si="0"/>
        <v>0.7449230769230768</v>
      </c>
    </row>
    <row r="14" spans="1:7" x14ac:dyDescent="0.6">
      <c r="A14" s="125"/>
      <c r="B14" s="5">
        <v>2</v>
      </c>
      <c r="C14" s="5">
        <f t="shared" si="1"/>
        <v>47.592307692307685</v>
      </c>
      <c r="D14" s="5">
        <f t="shared" si="2"/>
        <v>2.069230769230769</v>
      </c>
      <c r="E14" s="5">
        <f t="shared" si="0"/>
        <v>0.71388461538461523</v>
      </c>
    </row>
    <row r="15" spans="1:7" x14ac:dyDescent="0.6">
      <c r="A15" s="125"/>
      <c r="B15" s="5">
        <v>3</v>
      </c>
      <c r="C15" s="5">
        <f t="shared" si="1"/>
        <v>45.523076923076914</v>
      </c>
      <c r="D15" s="5">
        <f t="shared" si="2"/>
        <v>2.069230769230769</v>
      </c>
      <c r="E15" s="5">
        <f t="shared" si="0"/>
        <v>0.68284615384615366</v>
      </c>
    </row>
    <row r="16" spans="1:7" x14ac:dyDescent="0.6">
      <c r="A16" s="125"/>
      <c r="B16" s="5">
        <v>4</v>
      </c>
      <c r="C16" s="5">
        <f t="shared" si="1"/>
        <v>43.453846153846143</v>
      </c>
      <c r="D16" s="5">
        <f t="shared" si="2"/>
        <v>2.069230769230769</v>
      </c>
      <c r="E16" s="5">
        <f t="shared" si="0"/>
        <v>0.65180769230769209</v>
      </c>
    </row>
    <row r="17" spans="1:5" x14ac:dyDescent="0.6">
      <c r="A17" s="125">
        <v>3</v>
      </c>
      <c r="B17" s="5">
        <v>1</v>
      </c>
      <c r="C17" s="5">
        <f t="shared" si="1"/>
        <v>41.384615384615373</v>
      </c>
      <c r="D17" s="5">
        <f t="shared" si="2"/>
        <v>2.069230769230769</v>
      </c>
      <c r="E17" s="5">
        <f t="shared" si="0"/>
        <v>0.62076923076923052</v>
      </c>
    </row>
    <row r="18" spans="1:5" x14ac:dyDescent="0.6">
      <c r="A18" s="125"/>
      <c r="B18" s="5">
        <v>2</v>
      </c>
      <c r="C18" s="5">
        <f t="shared" ref="C18:C36" si="3">C17-D17</f>
        <v>39.315384615384602</v>
      </c>
      <c r="D18" s="5">
        <f t="shared" si="2"/>
        <v>2.069230769230769</v>
      </c>
      <c r="E18" s="5">
        <f t="shared" si="0"/>
        <v>0.58973076923076906</v>
      </c>
    </row>
    <row r="19" spans="1:5" x14ac:dyDescent="0.6">
      <c r="A19" s="125"/>
      <c r="B19" s="5">
        <v>3</v>
      </c>
      <c r="C19" s="5">
        <f t="shared" si="3"/>
        <v>37.246153846153831</v>
      </c>
      <c r="D19" s="5">
        <f t="shared" si="2"/>
        <v>2.069230769230769</v>
      </c>
      <c r="E19" s="5">
        <f t="shared" si="0"/>
        <v>0.55869230769230749</v>
      </c>
    </row>
    <row r="20" spans="1:5" x14ac:dyDescent="0.6">
      <c r="A20" s="125"/>
      <c r="B20" s="5">
        <v>4</v>
      </c>
      <c r="C20" s="5">
        <f t="shared" si="3"/>
        <v>35.17692307692306</v>
      </c>
      <c r="D20" s="5">
        <f t="shared" si="2"/>
        <v>2.069230769230769</v>
      </c>
      <c r="E20" s="5">
        <f t="shared" si="0"/>
        <v>0.52765384615384592</v>
      </c>
    </row>
    <row r="21" spans="1:5" x14ac:dyDescent="0.6">
      <c r="A21" s="125">
        <v>4</v>
      </c>
      <c r="B21" s="5">
        <v>1</v>
      </c>
      <c r="C21" s="5">
        <f t="shared" si="3"/>
        <v>33.10769230769229</v>
      </c>
      <c r="D21" s="5">
        <f t="shared" si="2"/>
        <v>2.069230769230769</v>
      </c>
      <c r="E21" s="5">
        <f t="shared" si="0"/>
        <v>0.49661538461538435</v>
      </c>
    </row>
    <row r="22" spans="1:5" x14ac:dyDescent="0.6">
      <c r="A22" s="125"/>
      <c r="B22" s="5">
        <v>2</v>
      </c>
      <c r="C22" s="5">
        <f t="shared" si="3"/>
        <v>31.038461538461519</v>
      </c>
      <c r="D22" s="5">
        <f t="shared" si="2"/>
        <v>2.069230769230769</v>
      </c>
      <c r="E22" s="5">
        <f t="shared" si="0"/>
        <v>0.46557692307692278</v>
      </c>
    </row>
    <row r="23" spans="1:5" x14ac:dyDescent="0.6">
      <c r="A23" s="125"/>
      <c r="B23" s="5">
        <v>3</v>
      </c>
      <c r="C23" s="5">
        <f t="shared" si="3"/>
        <v>28.969230769230748</v>
      </c>
      <c r="D23" s="5">
        <f t="shared" si="2"/>
        <v>2.069230769230769</v>
      </c>
      <c r="E23" s="5">
        <f t="shared" si="0"/>
        <v>0.43453846153846121</v>
      </c>
    </row>
    <row r="24" spans="1:5" x14ac:dyDescent="0.6">
      <c r="A24" s="125"/>
      <c r="B24" s="5">
        <v>4</v>
      </c>
      <c r="C24" s="5">
        <f t="shared" si="3"/>
        <v>26.899999999999977</v>
      </c>
      <c r="D24" s="5">
        <f t="shared" si="2"/>
        <v>2.069230769230769</v>
      </c>
      <c r="E24" s="5">
        <f t="shared" si="0"/>
        <v>0.40349999999999964</v>
      </c>
    </row>
    <row r="25" spans="1:5" x14ac:dyDescent="0.6">
      <c r="A25" s="125">
        <v>5</v>
      </c>
      <c r="B25" s="5">
        <v>1</v>
      </c>
      <c r="C25" s="5">
        <f t="shared" si="3"/>
        <v>24.830769230769207</v>
      </c>
      <c r="D25" s="5">
        <f t="shared" si="2"/>
        <v>2.069230769230769</v>
      </c>
      <c r="E25" s="5">
        <f t="shared" si="0"/>
        <v>0.37246153846153807</v>
      </c>
    </row>
    <row r="26" spans="1:5" x14ac:dyDescent="0.6">
      <c r="A26" s="125"/>
      <c r="B26" s="5">
        <v>2</v>
      </c>
      <c r="C26" s="5">
        <f t="shared" si="3"/>
        <v>22.761538461538436</v>
      </c>
      <c r="D26" s="5">
        <f t="shared" si="2"/>
        <v>2.069230769230769</v>
      </c>
      <c r="E26" s="5">
        <f t="shared" si="0"/>
        <v>0.3414230769230765</v>
      </c>
    </row>
    <row r="27" spans="1:5" x14ac:dyDescent="0.6">
      <c r="A27" s="125"/>
      <c r="B27" s="5">
        <v>3</v>
      </c>
      <c r="C27" s="5">
        <f t="shared" si="3"/>
        <v>20.692307692307665</v>
      </c>
      <c r="D27" s="5">
        <f t="shared" si="2"/>
        <v>2.069230769230769</v>
      </c>
      <c r="E27" s="5">
        <f t="shared" si="0"/>
        <v>0.31038461538461498</v>
      </c>
    </row>
    <row r="28" spans="1:5" x14ac:dyDescent="0.6">
      <c r="A28" s="125"/>
      <c r="B28" s="5">
        <v>4</v>
      </c>
      <c r="C28" s="5">
        <f t="shared" si="3"/>
        <v>18.623076923076894</v>
      </c>
      <c r="D28" s="5">
        <f t="shared" si="2"/>
        <v>2.069230769230769</v>
      </c>
      <c r="E28" s="5">
        <f t="shared" si="0"/>
        <v>0.27934615384615341</v>
      </c>
    </row>
    <row r="29" spans="1:5" x14ac:dyDescent="0.6">
      <c r="A29" s="125">
        <v>6</v>
      </c>
      <c r="B29" s="5">
        <v>1</v>
      </c>
      <c r="C29" s="5">
        <f t="shared" si="3"/>
        <v>16.553846153846123</v>
      </c>
      <c r="D29" s="5">
        <f t="shared" si="2"/>
        <v>2.069230769230769</v>
      </c>
      <c r="E29" s="5">
        <f t="shared" si="0"/>
        <v>0.24830769230769184</v>
      </c>
    </row>
    <row r="30" spans="1:5" x14ac:dyDescent="0.6">
      <c r="A30" s="125"/>
      <c r="B30" s="5">
        <v>2</v>
      </c>
      <c r="C30" s="5">
        <f t="shared" si="3"/>
        <v>14.484615384615354</v>
      </c>
      <c r="D30" s="5">
        <f t="shared" si="2"/>
        <v>2.069230769230769</v>
      </c>
      <c r="E30" s="5">
        <f t="shared" si="0"/>
        <v>0.2172692307692303</v>
      </c>
    </row>
    <row r="31" spans="1:5" x14ac:dyDescent="0.6">
      <c r="A31" s="125"/>
      <c r="B31" s="5">
        <v>3</v>
      </c>
      <c r="C31" s="5">
        <f t="shared" si="3"/>
        <v>12.415384615384585</v>
      </c>
      <c r="D31" s="5">
        <f t="shared" si="2"/>
        <v>2.069230769230769</v>
      </c>
      <c r="E31" s="5">
        <f t="shared" si="0"/>
        <v>0.18623076923076878</v>
      </c>
    </row>
    <row r="32" spans="1:5" x14ac:dyDescent="0.6">
      <c r="A32" s="125"/>
      <c r="B32" s="5">
        <v>4</v>
      </c>
      <c r="C32" s="5">
        <f t="shared" si="3"/>
        <v>10.346153846153817</v>
      </c>
      <c r="D32" s="5">
        <f t="shared" si="2"/>
        <v>2.069230769230769</v>
      </c>
      <c r="E32" s="5">
        <f t="shared" si="0"/>
        <v>0.15519230769230724</v>
      </c>
    </row>
    <row r="33" spans="1:5" x14ac:dyDescent="0.6">
      <c r="A33" s="125">
        <v>7</v>
      </c>
      <c r="B33" s="5">
        <v>1</v>
      </c>
      <c r="C33" s="5">
        <f t="shared" si="3"/>
        <v>8.2769230769230475</v>
      </c>
      <c r="D33" s="5">
        <f t="shared" si="2"/>
        <v>2.069230769230769</v>
      </c>
      <c r="E33" s="5">
        <f t="shared" si="0"/>
        <v>0.12415384615384571</v>
      </c>
    </row>
    <row r="34" spans="1:5" x14ac:dyDescent="0.6">
      <c r="A34" s="125"/>
      <c r="B34" s="5">
        <v>2</v>
      </c>
      <c r="C34" s="5">
        <f t="shared" si="3"/>
        <v>6.2076923076922785</v>
      </c>
      <c r="D34" s="5">
        <f t="shared" si="2"/>
        <v>2.069230769230769</v>
      </c>
      <c r="E34" s="5">
        <f t="shared" si="0"/>
        <v>9.311538461538417E-2</v>
      </c>
    </row>
    <row r="35" spans="1:5" x14ac:dyDescent="0.6">
      <c r="A35" s="125"/>
      <c r="B35" s="5">
        <v>3</v>
      </c>
      <c r="C35" s="5">
        <f t="shared" si="3"/>
        <v>4.1384615384615095</v>
      </c>
      <c r="D35" s="5">
        <f t="shared" si="2"/>
        <v>2.069230769230769</v>
      </c>
      <c r="E35" s="5">
        <f t="shared" si="0"/>
        <v>6.2076923076922641E-2</v>
      </c>
    </row>
    <row r="36" spans="1:5" x14ac:dyDescent="0.6">
      <c r="A36" s="125"/>
      <c r="B36" s="5">
        <v>4</v>
      </c>
      <c r="C36" s="5">
        <f t="shared" si="3"/>
        <v>2.0692307692307406</v>
      </c>
      <c r="D36" s="92">
        <f>D4-SUM(D9:D35)</f>
        <v>2.0692307692307423</v>
      </c>
      <c r="E36" s="5">
        <f t="shared" si="0"/>
        <v>3.1038461538461109E-2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workbookViewId="0">
      <selection activeCell="C16" sqref="C16"/>
    </sheetView>
  </sheetViews>
  <sheetFormatPr defaultRowHeight="17" x14ac:dyDescent="0.6"/>
  <cols>
    <col min="1" max="1" width="41.1796875" style="93" bestFit="1" customWidth="1"/>
    <col min="2" max="2" width="14.7265625" style="93" customWidth="1"/>
    <col min="3" max="11" width="14.7265625" style="93" bestFit="1" customWidth="1"/>
    <col min="12" max="12" width="13.6328125" style="93" bestFit="1" customWidth="1"/>
    <col min="13" max="16384" width="8.7265625" style="93"/>
  </cols>
  <sheetData>
    <row r="1" spans="1:11" x14ac:dyDescent="0.6">
      <c r="A1" s="94" t="s">
        <v>269</v>
      </c>
      <c r="B1" s="94"/>
    </row>
    <row r="2" spans="1:11" x14ac:dyDescent="0.6">
      <c r="A2" s="94"/>
      <c r="B2" s="94"/>
    </row>
    <row r="3" spans="1:11" x14ac:dyDescent="0.6">
      <c r="A3" s="102" t="s">
        <v>3</v>
      </c>
      <c r="B3" s="102">
        <v>0</v>
      </c>
      <c r="C3" s="102" t="s">
        <v>39</v>
      </c>
      <c r="D3" s="102" t="s">
        <v>40</v>
      </c>
      <c r="E3" s="102" t="s">
        <v>41</v>
      </c>
      <c r="F3" s="102" t="s">
        <v>42</v>
      </c>
      <c r="G3" s="102" t="s">
        <v>43</v>
      </c>
      <c r="H3" s="102" t="s">
        <v>44</v>
      </c>
      <c r="I3" s="102" t="s">
        <v>45</v>
      </c>
      <c r="J3" s="102" t="s">
        <v>46</v>
      </c>
      <c r="K3" s="102" t="s">
        <v>47</v>
      </c>
    </row>
    <row r="4" spans="1:11" x14ac:dyDescent="0.6">
      <c r="A4" s="95" t="s">
        <v>166</v>
      </c>
      <c r="B4" s="96">
        <f>'Ann 1'!C25*100000</f>
        <v>2000000</v>
      </c>
      <c r="C4" s="96">
        <f>B19</f>
        <v>2000000</v>
      </c>
      <c r="D4" s="96">
        <f>C19</f>
        <v>16432823.192307694</v>
      </c>
      <c r="E4" s="96">
        <f t="shared" ref="E4:K4" si="0">D19</f>
        <v>13298381.260769252</v>
      </c>
      <c r="F4" s="96">
        <f t="shared" si="0"/>
        <v>12202138.909492321</v>
      </c>
      <c r="G4" s="96">
        <f t="shared" si="0"/>
        <v>11070515.345984923</v>
      </c>
      <c r="H4" s="96">
        <f t="shared" si="0"/>
        <v>16328423.732080564</v>
      </c>
      <c r="I4" s="96">
        <f t="shared" si="0"/>
        <v>22554496.826666459</v>
      </c>
      <c r="J4" s="96">
        <f t="shared" si="0"/>
        <v>29119468.513455294</v>
      </c>
      <c r="K4" s="96">
        <f t="shared" si="0"/>
        <v>32763642.865260649</v>
      </c>
    </row>
    <row r="5" spans="1:11" x14ac:dyDescent="0.6">
      <c r="A5" s="95" t="s">
        <v>223</v>
      </c>
      <c r="B5" s="96">
        <f>'Ann 5'!C18</f>
        <v>820000.00000000012</v>
      </c>
      <c r="C5" s="96">
        <v>0</v>
      </c>
      <c r="D5" s="96">
        <v>0</v>
      </c>
      <c r="E5" s="96">
        <v>0</v>
      </c>
      <c r="F5" s="96">
        <v>0</v>
      </c>
      <c r="G5" s="96">
        <v>0</v>
      </c>
      <c r="H5" s="96">
        <v>0</v>
      </c>
      <c r="I5" s="96">
        <v>0</v>
      </c>
      <c r="J5" s="96">
        <v>0</v>
      </c>
      <c r="K5" s="96">
        <v>0</v>
      </c>
    </row>
    <row r="6" spans="1:11" x14ac:dyDescent="0.6">
      <c r="A6" s="95" t="s">
        <v>224</v>
      </c>
      <c r="B6" s="96">
        <f>'Ann 2'!C6*100000</f>
        <v>5380000</v>
      </c>
      <c r="C6" s="96">
        <v>0</v>
      </c>
      <c r="D6" s="96">
        <v>0</v>
      </c>
      <c r="E6" s="96">
        <v>0</v>
      </c>
      <c r="F6" s="96">
        <v>0</v>
      </c>
      <c r="G6" s="96">
        <v>0</v>
      </c>
      <c r="H6" s="96">
        <v>0</v>
      </c>
      <c r="I6" s="96">
        <v>0</v>
      </c>
      <c r="J6" s="96">
        <v>0</v>
      </c>
      <c r="K6" s="96">
        <v>0</v>
      </c>
    </row>
    <row r="7" spans="1:11" x14ac:dyDescent="0.6">
      <c r="A7" s="95" t="s">
        <v>225</v>
      </c>
      <c r="B7" s="96">
        <f>'Ann 9'!F6*100000</f>
        <v>6200000</v>
      </c>
      <c r="C7" s="96">
        <v>0</v>
      </c>
      <c r="D7" s="96">
        <v>0</v>
      </c>
      <c r="E7" s="96">
        <v>0</v>
      </c>
      <c r="F7" s="96">
        <v>0</v>
      </c>
      <c r="G7" s="96">
        <v>0</v>
      </c>
      <c r="H7" s="96">
        <v>0</v>
      </c>
      <c r="I7" s="96">
        <v>0</v>
      </c>
      <c r="J7" s="96">
        <v>0</v>
      </c>
      <c r="K7" s="96">
        <v>0</v>
      </c>
    </row>
    <row r="8" spans="1:11" x14ac:dyDescent="0.6">
      <c r="A8" s="95" t="s">
        <v>167</v>
      </c>
      <c r="B8" s="96">
        <v>0</v>
      </c>
      <c r="C8" s="96">
        <f>'Ann 4'!C23-'Ann 5'!C13</f>
        <v>260394750</v>
      </c>
      <c r="D8" s="96">
        <f>'Ann 4'!D23-'Ann 5'!D13</f>
        <v>298368984.375</v>
      </c>
      <c r="E8" s="96">
        <f>'Ann 4'!E23-'Ann 5'!E13</f>
        <v>318260250</v>
      </c>
      <c r="F8" s="96">
        <f>'Ann 4'!F23-'Ann 5'!F13</f>
        <v>338151515.625</v>
      </c>
      <c r="G8" s="96">
        <f>'Ann 4'!G23-'Ann 5'!G13</f>
        <v>365275968.75</v>
      </c>
      <c r="H8" s="96">
        <f>'Ann 4'!H23-'Ann 5'!H13</f>
        <v>385569078.125</v>
      </c>
      <c r="I8" s="96">
        <f>'Ann 4'!I23-'Ann 5'!I13</f>
        <v>405862187.5</v>
      </c>
      <c r="J8" s="96">
        <f>'Ann 4'!J23-'Ann 5'!J13</f>
        <v>402848359.375</v>
      </c>
      <c r="K8" s="96">
        <f>'Ann 4'!K23-'Ann 5'!K13</f>
        <v>401843750</v>
      </c>
    </row>
    <row r="9" spans="1:11" x14ac:dyDescent="0.6">
      <c r="A9" s="95" t="s">
        <v>199</v>
      </c>
      <c r="B9" s="96">
        <v>0</v>
      </c>
      <c r="C9" s="96">
        <v>0</v>
      </c>
      <c r="D9" s="96">
        <f>'Ann 5'!C24</f>
        <v>45500000</v>
      </c>
      <c r="E9" s="96">
        <f>'Ann 5'!D24</f>
        <v>42656250</v>
      </c>
      <c r="F9" s="96">
        <f>'Ann 5'!E24</f>
        <v>45500000</v>
      </c>
      <c r="G9" s="96">
        <f>'Ann 5'!F24</f>
        <v>48343750</v>
      </c>
      <c r="H9" s="96">
        <f>'Ann 5'!G24</f>
        <v>51187500</v>
      </c>
      <c r="I9" s="96">
        <f>'Ann 5'!H24</f>
        <v>54031250</v>
      </c>
      <c r="J9" s="96">
        <f>'Ann 5'!I24</f>
        <v>56875000</v>
      </c>
      <c r="K9" s="96">
        <f>'Ann 5'!J24</f>
        <v>56875000</v>
      </c>
    </row>
    <row r="10" spans="1:11" x14ac:dyDescent="0.6">
      <c r="A10" s="95" t="s">
        <v>200</v>
      </c>
      <c r="B10" s="96">
        <v>0</v>
      </c>
      <c r="C10" s="96">
        <v>0</v>
      </c>
      <c r="D10" s="96">
        <f>'Ann 5'!C13</f>
        <v>28932750</v>
      </c>
      <c r="E10" s="96">
        <f>'Ann 5'!D13</f>
        <v>27124453.125</v>
      </c>
      <c r="F10" s="96">
        <f>'Ann 5'!E13</f>
        <v>28932750</v>
      </c>
      <c r="G10" s="96">
        <f>'Ann 5'!F13</f>
        <v>30741046.875</v>
      </c>
      <c r="H10" s="96">
        <f>'Ann 5'!G13</f>
        <v>33206906.25</v>
      </c>
      <c r="I10" s="96">
        <f>'Ann 5'!H13</f>
        <v>35051734.375</v>
      </c>
      <c r="J10" s="96">
        <f>'Ann 5'!I13</f>
        <v>36896562.5</v>
      </c>
      <c r="K10" s="96">
        <f>'Ann 5'!J13</f>
        <v>36622578.125</v>
      </c>
    </row>
    <row r="11" spans="1:11" x14ac:dyDescent="0.6">
      <c r="A11" s="95" t="s">
        <v>201</v>
      </c>
      <c r="B11" s="96">
        <v>0</v>
      </c>
      <c r="C11" s="96">
        <f>'Ann 4'!C11+'Ann 4'!C20-'Ann 5'!C24</f>
        <v>244917570</v>
      </c>
      <c r="D11" s="96">
        <f>'Ann 4'!D11+'Ann 4'!D20-'Ann 5'!D24</f>
        <v>282113099.19999999</v>
      </c>
      <c r="E11" s="96">
        <f>'Ann 4'!E11+'Ann 4'!E20-'Ann 5'!E24</f>
        <v>300572985.15200001</v>
      </c>
      <c r="F11" s="96">
        <f>'Ann 4'!F11+'Ann 4'!F20-'Ann 5'!F24</f>
        <v>319067694.26112002</v>
      </c>
      <c r="G11" s="96">
        <f>'Ann 4'!G11+'Ann 4'!G20-'Ann 5'!G24</f>
        <v>337801532.41678721</v>
      </c>
      <c r="H11" s="96">
        <f>'Ann 4'!H11+'Ann 4'!H20-'Ann 5'!H24</f>
        <v>356382649.68679446</v>
      </c>
      <c r="I11" s="96">
        <f>'Ann 4'!I11+'Ann 4'!I20-'Ann 5'!I24</f>
        <v>375004295.25925207</v>
      </c>
      <c r="J11" s="96">
        <f>'Ann 4'!J11+'Ann 4'!J20-'Ann 5'!J24</f>
        <v>375064295.99968219</v>
      </c>
      <c r="K11" s="96">
        <f>'Ann 4'!K11+'Ann 4'!K20-'Ann 5'!K24</f>
        <v>375189209.28453815</v>
      </c>
    </row>
    <row r="12" spans="1:11" x14ac:dyDescent="0.6">
      <c r="A12" s="95" t="s">
        <v>168</v>
      </c>
      <c r="B12" s="96">
        <v>0</v>
      </c>
      <c r="C12" s="96">
        <f>'Ann 4'!C29</f>
        <v>519696.15384615381</v>
      </c>
      <c r="D12" s="96">
        <f>'Ann 4'!D29</f>
        <v>479346.15384615376</v>
      </c>
      <c r="E12" s="96">
        <f>'Ann 4'!E29</f>
        <v>429684.61538461532</v>
      </c>
      <c r="F12" s="96">
        <f>'Ann 4'!F29</f>
        <v>380023.07692307676</v>
      </c>
      <c r="G12" s="96">
        <f>'Ann 4'!G29</f>
        <v>330361.53846153832</v>
      </c>
      <c r="H12" s="96">
        <f>'Ann 4'!H29</f>
        <v>280699.99999999983</v>
      </c>
      <c r="I12" s="96">
        <f>'Ann 4'!I29</f>
        <v>231038.46153846136</v>
      </c>
      <c r="J12" s="96">
        <f>'Ann 4'!J29</f>
        <v>200000</v>
      </c>
      <c r="K12" s="96">
        <f>'Ann 4'!K29</f>
        <v>200000</v>
      </c>
    </row>
    <row r="13" spans="1:11" x14ac:dyDescent="0.6">
      <c r="A13" s="95"/>
      <c r="B13" s="96">
        <v>0</v>
      </c>
      <c r="C13" s="96">
        <f>B4+C8-C9+C10-C11-C12+B5+B6-B7</f>
        <v>16957483.846153848</v>
      </c>
      <c r="D13" s="96">
        <f t="shared" ref="D13:K13" si="1">D4+D8-D9+D10-D11-D12+D5+D6-D7</f>
        <v>15642112.213461569</v>
      </c>
      <c r="E13" s="96">
        <f t="shared" si="1"/>
        <v>15024164.618384622</v>
      </c>
      <c r="F13" s="96">
        <f t="shared" si="1"/>
        <v>14338687.196449216</v>
      </c>
      <c r="G13" s="96">
        <f t="shared" si="1"/>
        <v>20611887.015736189</v>
      </c>
      <c r="H13" s="96">
        <f t="shared" si="1"/>
        <v>27253558.420286119</v>
      </c>
      <c r="I13" s="96">
        <f t="shared" si="1"/>
        <v>34201834.980875939</v>
      </c>
      <c r="J13" s="96">
        <f t="shared" si="1"/>
        <v>36725094.388773084</v>
      </c>
      <c r="K13" s="96">
        <f t="shared" si="1"/>
        <v>38965761.705722511</v>
      </c>
    </row>
    <row r="14" spans="1:11" x14ac:dyDescent="0.6">
      <c r="A14" s="95" t="s">
        <v>203</v>
      </c>
      <c r="B14" s="96">
        <v>0</v>
      </c>
      <c r="C14" s="96">
        <f>'Ann 4'!C35</f>
        <v>51145.153846153873</v>
      </c>
      <c r="D14" s="96">
        <f>'Ann 4'!D35</f>
        <v>699710.14384615736</v>
      </c>
      <c r="E14" s="96">
        <f>'Ann 4'!E35</f>
        <v>920461.56978461228</v>
      </c>
      <c r="F14" s="96">
        <f>'Ann 4'!F35</f>
        <v>1126375.1735870705</v>
      </c>
      <c r="G14" s="96">
        <f>'Ann 4'!G35</f>
        <v>1594971.2196753763</v>
      </c>
      <c r="H14" s="96">
        <f>'Ann 4'!H35</f>
        <v>1786785.8242741621</v>
      </c>
      <c r="I14" s="96">
        <f>'Ann 4'!I35</f>
        <v>1963695.7660284652</v>
      </c>
      <c r="J14" s="96">
        <f>'Ann 4'!J35</f>
        <v>1828362.2416211248</v>
      </c>
      <c r="K14" s="96">
        <f>'Ann 4'!K35</f>
        <v>1756169.2498754691</v>
      </c>
    </row>
    <row r="15" spans="1:11" x14ac:dyDescent="0.6">
      <c r="A15" s="95"/>
      <c r="B15" s="96">
        <v>0</v>
      </c>
      <c r="C15" s="96">
        <f>C13-C14</f>
        <v>16906338.692307696</v>
      </c>
      <c r="D15" s="96">
        <f t="shared" ref="D15:K15" si="2">D13-D14</f>
        <v>14942402.069615411</v>
      </c>
      <c r="E15" s="96">
        <f t="shared" si="2"/>
        <v>14103703.048600011</v>
      </c>
      <c r="F15" s="96">
        <f t="shared" si="2"/>
        <v>13212312.022862146</v>
      </c>
      <c r="G15" s="96">
        <f t="shared" si="2"/>
        <v>19016915.796060812</v>
      </c>
      <c r="H15" s="96">
        <f t="shared" si="2"/>
        <v>25466772.596011955</v>
      </c>
      <c r="I15" s="96">
        <f t="shared" si="2"/>
        <v>32238139.214847475</v>
      </c>
      <c r="J15" s="96">
        <f t="shared" si="2"/>
        <v>34896732.147151962</v>
      </c>
      <c r="K15" s="96">
        <f t="shared" si="2"/>
        <v>37209592.45584704</v>
      </c>
    </row>
    <row r="16" spans="1:11" x14ac:dyDescent="0.6">
      <c r="A16" s="95" t="s">
        <v>202</v>
      </c>
      <c r="B16" s="96">
        <v>0</v>
      </c>
      <c r="C16" s="96">
        <f>'Ann 4'!C37</f>
        <v>59669.346153846185</v>
      </c>
      <c r="D16" s="96">
        <f>'Ann 4'!D37</f>
        <v>816328.50115385023</v>
      </c>
      <c r="E16" s="96">
        <f>'Ann 4'!E37</f>
        <v>1073871.831415381</v>
      </c>
      <c r="F16" s="96">
        <f>'Ann 4'!F37</f>
        <v>1314104.3691849154</v>
      </c>
      <c r="G16" s="96">
        <f>'Ann 4'!G37</f>
        <v>1860799.7562879394</v>
      </c>
      <c r="H16" s="96">
        <f>'Ann 4'!H37</f>
        <v>2084583.4616531893</v>
      </c>
      <c r="I16" s="96">
        <f>'Ann 4'!I37</f>
        <v>2290978.393699876</v>
      </c>
      <c r="J16" s="96">
        <f>'Ann 4'!J37</f>
        <v>2133089.2818913125</v>
      </c>
      <c r="K16" s="96">
        <f>'Ann 4'!K37</f>
        <v>2048864.1248547141</v>
      </c>
    </row>
    <row r="17" spans="1:12" x14ac:dyDescent="0.6">
      <c r="A17" s="95"/>
      <c r="B17" s="96">
        <v>0</v>
      </c>
      <c r="C17" s="96">
        <f>C15-C16</f>
        <v>16846669.346153848</v>
      </c>
      <c r="D17" s="96">
        <f t="shared" ref="D17:K17" si="3">D15-D16</f>
        <v>14126073.56846156</v>
      </c>
      <c r="E17" s="96">
        <f t="shared" si="3"/>
        <v>13029831.217184629</v>
      </c>
      <c r="F17" s="96">
        <f t="shared" si="3"/>
        <v>11898207.653677231</v>
      </c>
      <c r="G17" s="96">
        <f t="shared" si="3"/>
        <v>17156116.039772872</v>
      </c>
      <c r="H17" s="96">
        <f t="shared" si="3"/>
        <v>23382189.134358767</v>
      </c>
      <c r="I17" s="96">
        <f t="shared" si="3"/>
        <v>29947160.821147598</v>
      </c>
      <c r="J17" s="96">
        <f t="shared" si="3"/>
        <v>32763642.865260649</v>
      </c>
      <c r="K17" s="96">
        <f t="shared" si="3"/>
        <v>35160728.330992326</v>
      </c>
    </row>
    <row r="18" spans="1:12" x14ac:dyDescent="0.6">
      <c r="A18" s="95" t="s">
        <v>204</v>
      </c>
      <c r="B18" s="96">
        <v>0</v>
      </c>
      <c r="C18" s="96">
        <f>SUM('Ann 13'!D9:D12)*100000</f>
        <v>413846.15384615381</v>
      </c>
      <c r="D18" s="96">
        <f>SUM('Ann 13'!D13:D16)*100000</f>
        <v>827692.30769230763</v>
      </c>
      <c r="E18" s="96">
        <f>SUM('Ann 13'!D17:D20)*100000</f>
        <v>827692.30769230763</v>
      </c>
      <c r="F18" s="96">
        <f>SUM('Ann 13'!D21:D24)*100000</f>
        <v>827692.30769230763</v>
      </c>
      <c r="G18" s="96">
        <f>SUM('Ann 13'!D25:D28)*100000</f>
        <v>827692.30769230763</v>
      </c>
      <c r="H18" s="96">
        <f>SUM('Ann 13'!D29:D32)*100000</f>
        <v>827692.30769230763</v>
      </c>
      <c r="I18" s="96">
        <f>SUM('Ann 13'!D33:D36)*100000</f>
        <v>827692.30769230495</v>
      </c>
      <c r="J18" s="96">
        <v>0</v>
      </c>
      <c r="K18" s="96">
        <v>0</v>
      </c>
    </row>
    <row r="19" spans="1:12" x14ac:dyDescent="0.6">
      <c r="A19" s="95" t="s">
        <v>205</v>
      </c>
      <c r="B19" s="96">
        <f>B4+B5+B6-B7</f>
        <v>2000000</v>
      </c>
      <c r="C19" s="96">
        <f>C17-C18</f>
        <v>16432823.192307694</v>
      </c>
      <c r="D19" s="96">
        <f>D17-D18</f>
        <v>13298381.260769252</v>
      </c>
      <c r="E19" s="96">
        <f>E17-E18</f>
        <v>12202138.909492321</v>
      </c>
      <c r="F19" s="96">
        <f t="shared" ref="F19:K19" si="4">F17-F18</f>
        <v>11070515.345984923</v>
      </c>
      <c r="G19" s="96">
        <f t="shared" si="4"/>
        <v>16328423.732080564</v>
      </c>
      <c r="H19" s="96">
        <f t="shared" si="4"/>
        <v>22554496.826666459</v>
      </c>
      <c r="I19" s="96">
        <f t="shared" si="4"/>
        <v>29119468.513455294</v>
      </c>
      <c r="J19" s="96">
        <f t="shared" si="4"/>
        <v>32763642.865260649</v>
      </c>
      <c r="K19" s="96">
        <f t="shared" si="4"/>
        <v>35160728.330992326</v>
      </c>
    </row>
    <row r="21" spans="1:12" x14ac:dyDescent="0.6">
      <c r="A21" s="97" t="s">
        <v>207</v>
      </c>
      <c r="B21" s="98">
        <v>0.06</v>
      </c>
      <c r="C21" s="99"/>
      <c r="D21" s="97"/>
      <c r="E21" s="97"/>
      <c r="F21" s="97"/>
      <c r="G21" s="97"/>
      <c r="H21" s="97"/>
      <c r="I21" s="97"/>
      <c r="J21" s="97"/>
      <c r="K21" s="97"/>
      <c r="L21" s="97"/>
    </row>
    <row r="22" spans="1:12" x14ac:dyDescent="0.6">
      <c r="A22" s="97" t="s">
        <v>208</v>
      </c>
      <c r="B22" s="97">
        <v>1</v>
      </c>
      <c r="C22" s="100">
        <f>1/(1+$B$21)</f>
        <v>0.94339622641509424</v>
      </c>
      <c r="D22" s="100">
        <f>1/((1+$B$21)*(1+$B$21))</f>
        <v>0.88999644001423983</v>
      </c>
      <c r="E22" s="100">
        <f>1/((1+$B$21)*(1+$B$21)*(1+$B$21))</f>
        <v>0.8396192830323016</v>
      </c>
      <c r="F22" s="100">
        <f>1/((1+$B$21)*(1+$B$21)*(1+$B$21)*(1+$B$21))</f>
        <v>0.79209366323802044</v>
      </c>
      <c r="G22" s="100">
        <f>1/((1+$B$21)*(1+$B$21)*(1+$B$21)*(1+$B$21)*(1+$B$21))</f>
        <v>0.74725817286605689</v>
      </c>
      <c r="H22" s="100">
        <f>1/((1+$B$21)*(1+$B$21)*(1+$B$21)*(1+$B$21)*(1+$B$21)*(1+$B$21))</f>
        <v>0.70496054043967626</v>
      </c>
      <c r="I22" s="100">
        <f>1/((1+$B$21)*(1+$B$21)*(1+$B$21)*(1+$B$21)*(1+$B$21)*(1+$B$21)*(1+$B$21))</f>
        <v>0.6650571136223361</v>
      </c>
      <c r="J22" s="100">
        <f>1/((1+$B$21)*(1+$B$21)*(1+$B$21)*(1+$B$21)*(1+$B$21)*(1+$B$21)*(1+$B$21)*(1+$B$21))</f>
        <v>0.62741237134182648</v>
      </c>
      <c r="K22" s="100">
        <f>1/((1+$B$21)*(1+$B$21)*(1+$B$21)*(1+$B$21)*(1+$B$21)*(1+$B$21)*(1+$B$21)*(1+$B$21)*(1+$B$21))</f>
        <v>0.59189846353002495</v>
      </c>
      <c r="L22" s="97"/>
    </row>
    <row r="23" spans="1:12" x14ac:dyDescent="0.6">
      <c r="A23" s="97" t="s">
        <v>209</v>
      </c>
      <c r="B23" s="97">
        <f>B4+B8+B10+B5+B6</f>
        <v>8200000</v>
      </c>
      <c r="C23" s="97">
        <f>C4+C8+C10+C5+C6</f>
        <v>262394750</v>
      </c>
      <c r="D23" s="97">
        <f t="shared" ref="D23:K23" si="5">D4+D8+D10</f>
        <v>343734557.56730771</v>
      </c>
      <c r="E23" s="97">
        <f t="shared" si="5"/>
        <v>358683084.38576925</v>
      </c>
      <c r="F23" s="97">
        <f t="shared" si="5"/>
        <v>379286404.53449231</v>
      </c>
      <c r="G23" s="97">
        <f t="shared" si="5"/>
        <v>407087530.97098494</v>
      </c>
      <c r="H23" s="97">
        <f t="shared" si="5"/>
        <v>435104408.10708058</v>
      </c>
      <c r="I23" s="97">
        <f t="shared" si="5"/>
        <v>463468418.70166647</v>
      </c>
      <c r="J23" s="97">
        <f t="shared" si="5"/>
        <v>468864390.38845527</v>
      </c>
      <c r="K23" s="97">
        <f t="shared" si="5"/>
        <v>471229970.99026066</v>
      </c>
      <c r="L23" s="97"/>
    </row>
    <row r="24" spans="1:12" x14ac:dyDescent="0.6">
      <c r="A24" s="97" t="s">
        <v>210</v>
      </c>
      <c r="B24" s="97">
        <f>B23*B22</f>
        <v>8200000</v>
      </c>
      <c r="C24" s="97">
        <f>C23*C22</f>
        <v>247542216.98113206</v>
      </c>
      <c r="D24" s="97">
        <f t="shared" ref="D24:K24" si="6">D23*D22</f>
        <v>305922532.54477364</v>
      </c>
      <c r="E24" s="97">
        <f t="shared" si="6"/>
        <v>301157234.14779413</v>
      </c>
      <c r="F24" s="97">
        <f t="shared" si="6"/>
        <v>300430357.58410376</v>
      </c>
      <c r="G24" s="97">
        <f t="shared" si="6"/>
        <v>304199484.58993256</v>
      </c>
      <c r="H24" s="97">
        <f t="shared" si="6"/>
        <v>306731438.68685299</v>
      </c>
      <c r="I24" s="97">
        <f t="shared" si="6"/>
        <v>308232968.79683864</v>
      </c>
      <c r="J24" s="97">
        <f t="shared" si="6"/>
        <v>294171319.01136059</v>
      </c>
      <c r="K24" s="97">
        <f t="shared" si="6"/>
        <v>278920295.79843354</v>
      </c>
      <c r="L24" s="97"/>
    </row>
    <row r="25" spans="1:12" x14ac:dyDescent="0.6">
      <c r="A25" s="97" t="s">
        <v>211</v>
      </c>
      <c r="B25" s="97">
        <f>B9+B11+B12+B14+B16+B18+B7</f>
        <v>6200000</v>
      </c>
      <c r="C25" s="97">
        <f>C9+C11+C12+C14+C16+C18+C7</f>
        <v>245961926.80769229</v>
      </c>
      <c r="D25" s="97">
        <f t="shared" ref="D25:K25" si="7">D9+D11+D12+D14+D16+D18+D7</f>
        <v>330436176.3065384</v>
      </c>
      <c r="E25" s="97">
        <f t="shared" si="7"/>
        <v>346480945.47627693</v>
      </c>
      <c r="F25" s="97">
        <f t="shared" si="7"/>
        <v>368215889.18850738</v>
      </c>
      <c r="G25" s="97">
        <f t="shared" si="7"/>
        <v>390759107.23890436</v>
      </c>
      <c r="H25" s="97">
        <f t="shared" si="7"/>
        <v>412549911.2804141</v>
      </c>
      <c r="I25" s="97">
        <f t="shared" si="7"/>
        <v>434348950.18821114</v>
      </c>
      <c r="J25" s="97">
        <f t="shared" si="7"/>
        <v>436100747.52319461</v>
      </c>
      <c r="K25" s="97">
        <f t="shared" si="7"/>
        <v>436069242.65926838</v>
      </c>
      <c r="L25" s="97"/>
    </row>
    <row r="26" spans="1:12" x14ac:dyDescent="0.6">
      <c r="A26" s="97" t="s">
        <v>212</v>
      </c>
      <c r="B26" s="97">
        <f>B25*B22</f>
        <v>6200000</v>
      </c>
      <c r="C26" s="97">
        <f>C25*C22</f>
        <v>232039553.59216252</v>
      </c>
      <c r="D26" s="97">
        <f t="shared" ref="D26:K26" si="8">D25*D22</f>
        <v>294087020.5647369</v>
      </c>
      <c r="E26" s="97">
        <f t="shared" si="8"/>
        <v>290912083.02514565</v>
      </c>
      <c r="F26" s="97">
        <f t="shared" si="8"/>
        <v>291661472.52976984</v>
      </c>
      <c r="G26" s="97">
        <f t="shared" si="8"/>
        <v>291997936.50611526</v>
      </c>
      <c r="H26" s="97">
        <f t="shared" si="8"/>
        <v>290831408.41458124</v>
      </c>
      <c r="I26" s="97">
        <f t="shared" si="8"/>
        <v>288866859.11706352</v>
      </c>
      <c r="J26" s="97">
        <f t="shared" si="8"/>
        <v>273615004.14747071</v>
      </c>
      <c r="K26" s="97">
        <f t="shared" si="8"/>
        <v>258108714.72272256</v>
      </c>
      <c r="L26" s="97"/>
    </row>
    <row r="27" spans="1:12" x14ac:dyDescent="0.6">
      <c r="A27" s="97"/>
      <c r="B27" s="97"/>
      <c r="C27" s="97"/>
      <c r="D27" s="97"/>
      <c r="E27" s="97"/>
      <c r="F27" s="97"/>
      <c r="G27" s="97"/>
      <c r="H27" s="97"/>
      <c r="I27" s="97"/>
      <c r="J27" s="97"/>
      <c r="K27" s="97"/>
      <c r="L27" s="97"/>
    </row>
    <row r="28" spans="1:12" x14ac:dyDescent="0.6">
      <c r="A28" s="97" t="s">
        <v>213</v>
      </c>
      <c r="B28" s="97">
        <f>B23-B25</f>
        <v>2000000</v>
      </c>
      <c r="C28" s="97">
        <f>C23-C25</f>
        <v>16432823.192307711</v>
      </c>
      <c r="D28" s="97">
        <f>D23-D25</f>
        <v>13298381.260769308</v>
      </c>
      <c r="E28" s="97">
        <f t="shared" ref="E28:K28" si="9">E23-E25</f>
        <v>12202138.909492314</v>
      </c>
      <c r="F28" s="97">
        <f t="shared" si="9"/>
        <v>11070515.345984936</v>
      </c>
      <c r="G28" s="97">
        <f t="shared" si="9"/>
        <v>16328423.732080579</v>
      </c>
      <c r="H28" s="97">
        <f t="shared" si="9"/>
        <v>22554496.826666474</v>
      </c>
      <c r="I28" s="97">
        <f t="shared" si="9"/>
        <v>29119468.513455331</v>
      </c>
      <c r="J28" s="97">
        <f t="shared" si="9"/>
        <v>32763642.865260661</v>
      </c>
      <c r="K28" s="97">
        <f t="shared" si="9"/>
        <v>35160728.330992281</v>
      </c>
      <c r="L28" s="97"/>
    </row>
    <row r="29" spans="1:12" x14ac:dyDescent="0.6">
      <c r="A29" s="97" t="s">
        <v>214</v>
      </c>
      <c r="B29" s="97">
        <f>B24-B26</f>
        <v>2000000</v>
      </c>
      <c r="C29" s="97">
        <f>C28*C22</f>
        <v>15502663.388969537</v>
      </c>
      <c r="D29" s="97">
        <f t="shared" ref="D29:K29" si="10">D28*D22</f>
        <v>11835511.980036762</v>
      </c>
      <c r="E29" s="97">
        <f t="shared" si="10"/>
        <v>10245151.122648487</v>
      </c>
      <c r="F29" s="97">
        <f t="shared" si="10"/>
        <v>8768885.054333929</v>
      </c>
      <c r="G29" s="97">
        <f t="shared" si="10"/>
        <v>12201548.083817296</v>
      </c>
      <c r="H29" s="97">
        <f t="shared" si="10"/>
        <v>15900030.272271762</v>
      </c>
      <c r="I29" s="97">
        <f t="shared" si="10"/>
        <v>19366109.6797751</v>
      </c>
      <c r="J29" s="97">
        <f t="shared" si="10"/>
        <v>20556314.863889907</v>
      </c>
      <c r="K29" s="97">
        <f t="shared" si="10"/>
        <v>20811581.075710949</v>
      </c>
      <c r="L29" s="97">
        <f>SUM(B29:K29)</f>
        <v>137187795.52145371</v>
      </c>
    </row>
    <row r="30" spans="1:12" x14ac:dyDescent="0.6">
      <c r="C30" s="101"/>
      <c r="D30" s="101"/>
      <c r="E30" s="101"/>
      <c r="F30" s="101"/>
      <c r="G30" s="101"/>
    </row>
  </sheetData>
  <pageMargins left="0.7" right="0.7" top="0.75" bottom="0.75" header="0.3" footer="0.3"/>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48"/>
  <sheetViews>
    <sheetView workbookViewId="0">
      <selection activeCell="B10" sqref="B10"/>
    </sheetView>
  </sheetViews>
  <sheetFormatPr defaultRowHeight="17" x14ac:dyDescent="0.6"/>
  <cols>
    <col min="1" max="1" width="26.08984375" style="4" bestFit="1" customWidth="1"/>
    <col min="2" max="2" width="17.08984375" style="4" bestFit="1" customWidth="1"/>
    <col min="3" max="10" width="14.54296875" style="4" bestFit="1" customWidth="1"/>
    <col min="11" max="11" width="12.54296875" style="4" bestFit="1" customWidth="1"/>
    <col min="12" max="16384" width="8.7265625" style="4"/>
  </cols>
  <sheetData>
    <row r="1" spans="1:10" x14ac:dyDescent="0.6">
      <c r="A1" s="3" t="s">
        <v>173</v>
      </c>
    </row>
    <row r="2" spans="1:10" x14ac:dyDescent="0.6">
      <c r="A2" s="3"/>
    </row>
    <row r="3" spans="1:10" x14ac:dyDescent="0.6">
      <c r="A3" s="121" t="s">
        <v>3</v>
      </c>
      <c r="B3" s="121" t="s">
        <v>48</v>
      </c>
      <c r="C3" s="121"/>
      <c r="D3" s="121"/>
      <c r="E3" s="121"/>
      <c r="F3" s="121"/>
      <c r="G3" s="121"/>
      <c r="H3" s="121"/>
      <c r="I3" s="121"/>
      <c r="J3" s="121"/>
    </row>
    <row r="4" spans="1:10" x14ac:dyDescent="0.6">
      <c r="A4" s="121"/>
      <c r="B4" s="59" t="s">
        <v>39</v>
      </c>
      <c r="C4" s="59" t="s">
        <v>40</v>
      </c>
      <c r="D4" s="59" t="s">
        <v>41</v>
      </c>
      <c r="E4" s="59" t="s">
        <v>42</v>
      </c>
      <c r="F4" s="59" t="s">
        <v>43</v>
      </c>
      <c r="G4" s="59" t="s">
        <v>44</v>
      </c>
      <c r="H4" s="59" t="s">
        <v>45</v>
      </c>
      <c r="I4" s="59" t="s">
        <v>46</v>
      </c>
      <c r="J4" s="59" t="s">
        <v>47</v>
      </c>
    </row>
    <row r="5" spans="1:10" x14ac:dyDescent="0.6">
      <c r="A5" s="5" t="s">
        <v>174</v>
      </c>
      <c r="B5" s="51">
        <v>0.7</v>
      </c>
      <c r="C5" s="51">
        <v>0.75</v>
      </c>
      <c r="D5" s="51">
        <v>0.8</v>
      </c>
      <c r="E5" s="51">
        <v>0.85</v>
      </c>
      <c r="F5" s="51">
        <v>0.9</v>
      </c>
      <c r="G5" s="51">
        <v>0.95</v>
      </c>
      <c r="H5" s="51">
        <v>1</v>
      </c>
      <c r="I5" s="51">
        <v>1</v>
      </c>
      <c r="J5" s="51">
        <v>1</v>
      </c>
    </row>
    <row r="6" spans="1:10" x14ac:dyDescent="0.6">
      <c r="A6" s="5" t="s">
        <v>287</v>
      </c>
      <c r="B6" s="52">
        <f>$B$21*B$5*40%</f>
        <v>1400000</v>
      </c>
      <c r="C6" s="52">
        <f t="shared" ref="C6:J6" si="0">$B$21*C$5*40%</f>
        <v>1500000</v>
      </c>
      <c r="D6" s="52">
        <f t="shared" si="0"/>
        <v>1600000</v>
      </c>
      <c r="E6" s="52">
        <f t="shared" si="0"/>
        <v>1700000</v>
      </c>
      <c r="F6" s="52">
        <f t="shared" si="0"/>
        <v>1800000</v>
      </c>
      <c r="G6" s="52">
        <f t="shared" si="0"/>
        <v>1900000</v>
      </c>
      <c r="H6" s="52">
        <f t="shared" si="0"/>
        <v>2000000</v>
      </c>
      <c r="I6" s="52">
        <f t="shared" si="0"/>
        <v>2000000</v>
      </c>
      <c r="J6" s="52">
        <f t="shared" si="0"/>
        <v>2000000</v>
      </c>
    </row>
    <row r="7" spans="1:10" x14ac:dyDescent="0.6">
      <c r="A7" s="5" t="s">
        <v>288</v>
      </c>
      <c r="B7" s="52">
        <f>$B$21*B$5*50%</f>
        <v>1750000</v>
      </c>
      <c r="C7" s="52">
        <f t="shared" ref="C7:J7" si="1">$B$21*C$5*50%</f>
        <v>1875000</v>
      </c>
      <c r="D7" s="52">
        <f t="shared" si="1"/>
        <v>2000000</v>
      </c>
      <c r="E7" s="52">
        <f t="shared" si="1"/>
        <v>2125000</v>
      </c>
      <c r="F7" s="52">
        <f t="shared" si="1"/>
        <v>2250000</v>
      </c>
      <c r="G7" s="52">
        <f t="shared" si="1"/>
        <v>2375000</v>
      </c>
      <c r="H7" s="52">
        <f t="shared" si="1"/>
        <v>2500000</v>
      </c>
      <c r="I7" s="52">
        <f t="shared" si="1"/>
        <v>2500000</v>
      </c>
      <c r="J7" s="52">
        <f t="shared" si="1"/>
        <v>2500000</v>
      </c>
    </row>
    <row r="8" spans="1:10" x14ac:dyDescent="0.6">
      <c r="A8" s="5" t="s">
        <v>289</v>
      </c>
      <c r="B8" s="52">
        <f>B6*99%</f>
        <v>1386000</v>
      </c>
      <c r="C8" s="52">
        <f t="shared" ref="C8:E8" si="2">C6*99%</f>
        <v>1485000</v>
      </c>
      <c r="D8" s="52">
        <f t="shared" si="2"/>
        <v>1584000</v>
      </c>
      <c r="E8" s="52">
        <f t="shared" si="2"/>
        <v>1683000</v>
      </c>
      <c r="F8" s="52">
        <f>MIN(F6*101%,F28)</f>
        <v>1818000</v>
      </c>
      <c r="G8" s="52">
        <f t="shared" ref="G8:J8" si="3">MIN(G6*101%,G28)</f>
        <v>1919000</v>
      </c>
      <c r="H8" s="52">
        <f t="shared" si="3"/>
        <v>2020000</v>
      </c>
      <c r="I8" s="52">
        <f t="shared" si="3"/>
        <v>2005000</v>
      </c>
      <c r="J8" s="52">
        <f t="shared" si="3"/>
        <v>2000000</v>
      </c>
    </row>
    <row r="9" spans="1:10" x14ac:dyDescent="0.6">
      <c r="A9" s="5" t="s">
        <v>291</v>
      </c>
      <c r="B9" s="52">
        <f>B7*99%</f>
        <v>1732500</v>
      </c>
      <c r="C9" s="52">
        <f t="shared" ref="C9:E9" si="4">C7*99%</f>
        <v>1856250</v>
      </c>
      <c r="D9" s="52">
        <f t="shared" si="4"/>
        <v>1980000</v>
      </c>
      <c r="E9" s="52">
        <f t="shared" si="4"/>
        <v>2103750</v>
      </c>
      <c r="F9" s="52">
        <f>MIN(F7*101%,F37)</f>
        <v>2272500</v>
      </c>
      <c r="G9" s="52">
        <f t="shared" ref="G9:J9" si="5">MIN(G7*101%,G37)</f>
        <v>2398750</v>
      </c>
      <c r="H9" s="52">
        <f t="shared" si="5"/>
        <v>2525000</v>
      </c>
      <c r="I9" s="52">
        <f t="shared" si="5"/>
        <v>2506250</v>
      </c>
      <c r="J9" s="52">
        <f t="shared" si="5"/>
        <v>2500000</v>
      </c>
    </row>
    <row r="10" spans="1:10" x14ac:dyDescent="0.6">
      <c r="A10" s="5" t="s">
        <v>292</v>
      </c>
      <c r="B10" s="49">
        <f>B8*$C$21</f>
        <v>221760000</v>
      </c>
      <c r="C10" s="49">
        <f>C8*$C$21*1.05</f>
        <v>249480000</v>
      </c>
      <c r="D10" s="49">
        <f t="shared" ref="D10:J10" si="6">D8*$C$21*1.05</f>
        <v>266112000</v>
      </c>
      <c r="E10" s="49">
        <f t="shared" si="6"/>
        <v>282744000</v>
      </c>
      <c r="F10" s="49">
        <f t="shared" si="6"/>
        <v>305424000</v>
      </c>
      <c r="G10" s="49">
        <f t="shared" si="6"/>
        <v>322392000</v>
      </c>
      <c r="H10" s="49">
        <f t="shared" si="6"/>
        <v>339360000</v>
      </c>
      <c r="I10" s="49">
        <f t="shared" si="6"/>
        <v>336840000</v>
      </c>
      <c r="J10" s="49">
        <f t="shared" si="6"/>
        <v>336000000</v>
      </c>
    </row>
    <row r="11" spans="1:10" x14ac:dyDescent="0.6">
      <c r="A11" s="5" t="s">
        <v>293</v>
      </c>
      <c r="B11" s="49">
        <f>B9*$E$21</f>
        <v>67567500</v>
      </c>
      <c r="C11" s="49">
        <f>C9*$E$21*1.05</f>
        <v>76013437.5</v>
      </c>
      <c r="D11" s="49">
        <f t="shared" ref="D11:J11" si="7">D9*$E$21*1.05</f>
        <v>81081000</v>
      </c>
      <c r="E11" s="49">
        <f t="shared" si="7"/>
        <v>86148562.5</v>
      </c>
      <c r="F11" s="49">
        <f t="shared" si="7"/>
        <v>93058875</v>
      </c>
      <c r="G11" s="49">
        <f t="shared" si="7"/>
        <v>98228812.5</v>
      </c>
      <c r="H11" s="49">
        <f t="shared" si="7"/>
        <v>103398750</v>
      </c>
      <c r="I11" s="49">
        <f t="shared" si="7"/>
        <v>102630937.5</v>
      </c>
      <c r="J11" s="49">
        <f t="shared" si="7"/>
        <v>102375000</v>
      </c>
    </row>
    <row r="12" spans="1:10" x14ac:dyDescent="0.6">
      <c r="A12" s="5" t="s">
        <v>294</v>
      </c>
      <c r="B12" s="52">
        <f>B11+B10</f>
        <v>289327500</v>
      </c>
      <c r="C12" s="52">
        <f t="shared" ref="C12:J12" si="8">C11+C10</f>
        <v>325493437.5</v>
      </c>
      <c r="D12" s="52">
        <f t="shared" si="8"/>
        <v>347193000</v>
      </c>
      <c r="E12" s="52">
        <f t="shared" si="8"/>
        <v>368892562.5</v>
      </c>
      <c r="F12" s="52">
        <f t="shared" si="8"/>
        <v>398482875</v>
      </c>
      <c r="G12" s="52">
        <f t="shared" si="8"/>
        <v>420620812.5</v>
      </c>
      <c r="H12" s="52">
        <f t="shared" si="8"/>
        <v>442758750</v>
      </c>
      <c r="I12" s="52">
        <f t="shared" si="8"/>
        <v>439470937.5</v>
      </c>
      <c r="J12" s="52">
        <f t="shared" si="8"/>
        <v>438375000</v>
      </c>
    </row>
    <row r="13" spans="1:10" x14ac:dyDescent="0.6">
      <c r="B13" s="26"/>
      <c r="C13" s="26"/>
      <c r="D13" s="26"/>
      <c r="E13" s="26"/>
      <c r="F13" s="26"/>
      <c r="G13" s="26"/>
      <c r="H13" s="26"/>
      <c r="I13" s="26"/>
      <c r="J13" s="26"/>
    </row>
    <row r="14" spans="1:10" x14ac:dyDescent="0.6">
      <c r="A14" s="3" t="s">
        <v>175</v>
      </c>
    </row>
    <row r="16" spans="1:10" x14ac:dyDescent="0.6">
      <c r="A16" s="4" t="s">
        <v>176</v>
      </c>
      <c r="B16" s="4">
        <f>20*1000</f>
        <v>20000</v>
      </c>
      <c r="C16" s="4" t="s">
        <v>252</v>
      </c>
    </row>
    <row r="17" spans="1:11" x14ac:dyDescent="0.6">
      <c r="A17" s="4" t="s">
        <v>253</v>
      </c>
      <c r="B17" s="4">
        <v>250</v>
      </c>
      <c r="C17" s="4" t="s">
        <v>254</v>
      </c>
    </row>
    <row r="18" spans="1:11" x14ac:dyDescent="0.6">
      <c r="A18" s="4" t="s">
        <v>177</v>
      </c>
      <c r="B18" s="53">
        <f>B17*B16</f>
        <v>5000000</v>
      </c>
      <c r="C18" s="4" t="s">
        <v>178</v>
      </c>
    </row>
    <row r="20" spans="1:11" s="56" customFormat="1" ht="51" x14ac:dyDescent="0.35">
      <c r="A20" s="54" t="s">
        <v>179</v>
      </c>
      <c r="B20" s="55" t="s">
        <v>180</v>
      </c>
      <c r="C20" s="55" t="s">
        <v>276</v>
      </c>
      <c r="D20" s="55" t="s">
        <v>181</v>
      </c>
      <c r="E20" s="55" t="s">
        <v>277</v>
      </c>
    </row>
    <row r="21" spans="1:11" s="56" customFormat="1" x14ac:dyDescent="0.35">
      <c r="A21" s="54" t="s">
        <v>187</v>
      </c>
      <c r="B21" s="57">
        <f>B18</f>
        <v>5000000</v>
      </c>
      <c r="C21" s="58">
        <v>160</v>
      </c>
      <c r="D21" s="58">
        <v>65</v>
      </c>
      <c r="E21" s="55">
        <v>39</v>
      </c>
    </row>
    <row r="23" spans="1:11" x14ac:dyDescent="0.6">
      <c r="A23" s="3" t="s">
        <v>290</v>
      </c>
    </row>
    <row r="24" spans="1:11" x14ac:dyDescent="0.6">
      <c r="A24" s="121" t="s">
        <v>3</v>
      </c>
      <c r="B24" s="121" t="s">
        <v>48</v>
      </c>
      <c r="C24" s="121"/>
      <c r="D24" s="121"/>
      <c r="E24" s="121"/>
      <c r="F24" s="121"/>
      <c r="G24" s="121"/>
      <c r="H24" s="121"/>
      <c r="I24" s="121"/>
      <c r="J24" s="121"/>
      <c r="K24" s="60"/>
    </row>
    <row r="25" spans="1:11" x14ac:dyDescent="0.6">
      <c r="A25" s="121"/>
      <c r="B25" s="59" t="s">
        <v>39</v>
      </c>
      <c r="C25" s="59" t="s">
        <v>40</v>
      </c>
      <c r="D25" s="59" t="s">
        <v>41</v>
      </c>
      <c r="E25" s="59" t="s">
        <v>42</v>
      </c>
      <c r="F25" s="59" t="s">
        <v>43</v>
      </c>
      <c r="G25" s="59" t="s">
        <v>44</v>
      </c>
      <c r="H25" s="59" t="s">
        <v>45</v>
      </c>
      <c r="I25" s="59" t="s">
        <v>46</v>
      </c>
      <c r="J25" s="59" t="s">
        <v>47</v>
      </c>
    </row>
    <row r="26" spans="1:11" x14ac:dyDescent="0.6">
      <c r="A26" s="5" t="s">
        <v>182</v>
      </c>
      <c r="B26" s="61">
        <v>0</v>
      </c>
      <c r="C26" s="61">
        <f>B30</f>
        <v>14000</v>
      </c>
      <c r="D26" s="61">
        <f t="shared" ref="D26:J26" si="9">C30</f>
        <v>29000</v>
      </c>
      <c r="E26" s="61">
        <f t="shared" si="9"/>
        <v>45000</v>
      </c>
      <c r="F26" s="61">
        <f t="shared" si="9"/>
        <v>62000</v>
      </c>
      <c r="G26" s="61">
        <f t="shared" si="9"/>
        <v>44000</v>
      </c>
      <c r="H26" s="61">
        <f t="shared" si="9"/>
        <v>25000</v>
      </c>
      <c r="I26" s="61">
        <f t="shared" si="9"/>
        <v>5000</v>
      </c>
      <c r="J26" s="61">
        <f t="shared" si="9"/>
        <v>0</v>
      </c>
    </row>
    <row r="27" spans="1:11" x14ac:dyDescent="0.6">
      <c r="A27" s="5" t="s">
        <v>183</v>
      </c>
      <c r="B27" s="61">
        <f>B6</f>
        <v>1400000</v>
      </c>
      <c r="C27" s="61">
        <f t="shared" ref="C27:J27" si="10">C6</f>
        <v>1500000</v>
      </c>
      <c r="D27" s="61">
        <f t="shared" si="10"/>
        <v>1600000</v>
      </c>
      <c r="E27" s="61">
        <f t="shared" si="10"/>
        <v>1700000</v>
      </c>
      <c r="F27" s="61">
        <f t="shared" si="10"/>
        <v>1800000</v>
      </c>
      <c r="G27" s="61">
        <f t="shared" si="10"/>
        <v>1900000</v>
      </c>
      <c r="H27" s="61">
        <f t="shared" si="10"/>
        <v>2000000</v>
      </c>
      <c r="I27" s="61">
        <f t="shared" si="10"/>
        <v>2000000</v>
      </c>
      <c r="J27" s="61">
        <f t="shared" si="10"/>
        <v>2000000</v>
      </c>
    </row>
    <row r="28" spans="1:11" x14ac:dyDescent="0.6">
      <c r="A28" s="5" t="s">
        <v>206</v>
      </c>
      <c r="B28" s="61">
        <f>SUM(B26:B27)</f>
        <v>1400000</v>
      </c>
      <c r="C28" s="61">
        <f t="shared" ref="C28:J28" si="11">SUM(C26:C27)</f>
        <v>1514000</v>
      </c>
      <c r="D28" s="61">
        <f t="shared" si="11"/>
        <v>1629000</v>
      </c>
      <c r="E28" s="61">
        <f t="shared" si="11"/>
        <v>1745000</v>
      </c>
      <c r="F28" s="61">
        <f t="shared" si="11"/>
        <v>1862000</v>
      </c>
      <c r="G28" s="61">
        <f t="shared" si="11"/>
        <v>1944000</v>
      </c>
      <c r="H28" s="61">
        <f t="shared" si="11"/>
        <v>2025000</v>
      </c>
      <c r="I28" s="61">
        <f t="shared" si="11"/>
        <v>2005000</v>
      </c>
      <c r="J28" s="61">
        <f t="shared" si="11"/>
        <v>2000000</v>
      </c>
    </row>
    <row r="29" spans="1:11" x14ac:dyDescent="0.6">
      <c r="A29" s="5" t="s">
        <v>184</v>
      </c>
      <c r="B29" s="61">
        <f>B8</f>
        <v>1386000</v>
      </c>
      <c r="C29" s="61">
        <f t="shared" ref="C29:J29" si="12">C8</f>
        <v>1485000</v>
      </c>
      <c r="D29" s="61">
        <f t="shared" si="12"/>
        <v>1584000</v>
      </c>
      <c r="E29" s="61">
        <f t="shared" si="12"/>
        <v>1683000</v>
      </c>
      <c r="F29" s="61">
        <f t="shared" si="12"/>
        <v>1818000</v>
      </c>
      <c r="G29" s="61">
        <f t="shared" si="12"/>
        <v>1919000</v>
      </c>
      <c r="H29" s="61">
        <f t="shared" si="12"/>
        <v>2020000</v>
      </c>
      <c r="I29" s="61">
        <f t="shared" si="12"/>
        <v>2005000</v>
      </c>
      <c r="J29" s="61">
        <f t="shared" si="12"/>
        <v>2000000</v>
      </c>
    </row>
    <row r="30" spans="1:11" x14ac:dyDescent="0.6">
      <c r="A30" s="5" t="s">
        <v>185</v>
      </c>
      <c r="B30" s="61">
        <f>B26+B27-B29</f>
        <v>14000</v>
      </c>
      <c r="C30" s="61">
        <f t="shared" ref="C30:J30" si="13">C26+C27-C29</f>
        <v>29000</v>
      </c>
      <c r="D30" s="61">
        <f t="shared" si="13"/>
        <v>45000</v>
      </c>
      <c r="E30" s="61">
        <f t="shared" si="13"/>
        <v>62000</v>
      </c>
      <c r="F30" s="61">
        <f t="shared" si="13"/>
        <v>44000</v>
      </c>
      <c r="G30" s="61">
        <f t="shared" si="13"/>
        <v>25000</v>
      </c>
      <c r="H30" s="61">
        <f t="shared" si="13"/>
        <v>5000</v>
      </c>
      <c r="I30" s="61">
        <f t="shared" si="13"/>
        <v>0</v>
      </c>
      <c r="J30" s="61">
        <f t="shared" si="13"/>
        <v>0</v>
      </c>
    </row>
    <row r="31" spans="1:11" x14ac:dyDescent="0.6">
      <c r="A31" s="5" t="s">
        <v>295</v>
      </c>
      <c r="B31" s="61">
        <f>B30*$C$21*90%</f>
        <v>2016000</v>
      </c>
      <c r="C31" s="61">
        <f t="shared" ref="C31:J31" si="14">C30*$C$21*90%</f>
        <v>4176000</v>
      </c>
      <c r="D31" s="61">
        <f t="shared" si="14"/>
        <v>6480000</v>
      </c>
      <c r="E31" s="61">
        <f t="shared" si="14"/>
        <v>8928000</v>
      </c>
      <c r="F31" s="61">
        <f t="shared" si="14"/>
        <v>6336000</v>
      </c>
      <c r="G31" s="61">
        <f t="shared" si="14"/>
        <v>3600000</v>
      </c>
      <c r="H31" s="61">
        <f t="shared" si="14"/>
        <v>720000</v>
      </c>
      <c r="I31" s="61">
        <f t="shared" si="14"/>
        <v>0</v>
      </c>
      <c r="J31" s="61">
        <f t="shared" si="14"/>
        <v>0</v>
      </c>
    </row>
    <row r="33" spans="1:10" x14ac:dyDescent="0.6">
      <c r="A33" s="121" t="s">
        <v>3</v>
      </c>
      <c r="B33" s="121" t="s">
        <v>48</v>
      </c>
      <c r="C33" s="121"/>
      <c r="D33" s="121"/>
      <c r="E33" s="121"/>
      <c r="F33" s="121"/>
      <c r="G33" s="121"/>
      <c r="H33" s="121"/>
      <c r="I33" s="121"/>
      <c r="J33" s="121"/>
    </row>
    <row r="34" spans="1:10" x14ac:dyDescent="0.6">
      <c r="A34" s="121"/>
      <c r="B34" s="104" t="s">
        <v>39</v>
      </c>
      <c r="C34" s="104" t="s">
        <v>40</v>
      </c>
      <c r="D34" s="104" t="s">
        <v>41</v>
      </c>
      <c r="E34" s="104" t="s">
        <v>42</v>
      </c>
      <c r="F34" s="104" t="s">
        <v>43</v>
      </c>
      <c r="G34" s="104" t="s">
        <v>44</v>
      </c>
      <c r="H34" s="104" t="s">
        <v>45</v>
      </c>
      <c r="I34" s="104" t="s">
        <v>46</v>
      </c>
      <c r="J34" s="104" t="s">
        <v>47</v>
      </c>
    </row>
    <row r="35" spans="1:10" x14ac:dyDescent="0.6">
      <c r="A35" s="5" t="s">
        <v>182</v>
      </c>
      <c r="B35" s="61">
        <v>0</v>
      </c>
      <c r="C35" s="61">
        <f>B39</f>
        <v>17500</v>
      </c>
      <c r="D35" s="61">
        <f t="shared" ref="D35" si="15">C39</f>
        <v>36250</v>
      </c>
      <c r="E35" s="61">
        <f t="shared" ref="E35" si="16">D39</f>
        <v>56250</v>
      </c>
      <c r="F35" s="61">
        <f t="shared" ref="F35" si="17">E39</f>
        <v>77500</v>
      </c>
      <c r="G35" s="61">
        <f t="shared" ref="G35" si="18">F39</f>
        <v>55000</v>
      </c>
      <c r="H35" s="61">
        <f t="shared" ref="H35" si="19">G39</f>
        <v>31250</v>
      </c>
      <c r="I35" s="61">
        <f t="shared" ref="I35" si="20">H39</f>
        <v>6250</v>
      </c>
      <c r="J35" s="61">
        <f t="shared" ref="J35" si="21">I39</f>
        <v>0</v>
      </c>
    </row>
    <row r="36" spans="1:10" x14ac:dyDescent="0.6">
      <c r="A36" s="5" t="s">
        <v>183</v>
      </c>
      <c r="B36" s="61">
        <f>B7</f>
        <v>1750000</v>
      </c>
      <c r="C36" s="61">
        <f t="shared" ref="C36:J36" si="22">C7</f>
        <v>1875000</v>
      </c>
      <c r="D36" s="61">
        <f t="shared" si="22"/>
        <v>2000000</v>
      </c>
      <c r="E36" s="61">
        <f t="shared" si="22"/>
        <v>2125000</v>
      </c>
      <c r="F36" s="61">
        <f t="shared" si="22"/>
        <v>2250000</v>
      </c>
      <c r="G36" s="61">
        <f t="shared" si="22"/>
        <v>2375000</v>
      </c>
      <c r="H36" s="61">
        <f t="shared" si="22"/>
        <v>2500000</v>
      </c>
      <c r="I36" s="61">
        <f t="shared" si="22"/>
        <v>2500000</v>
      </c>
      <c r="J36" s="61">
        <f t="shared" si="22"/>
        <v>2500000</v>
      </c>
    </row>
    <row r="37" spans="1:10" x14ac:dyDescent="0.6">
      <c r="A37" s="5" t="s">
        <v>206</v>
      </c>
      <c r="B37" s="61">
        <f>SUM(B35:B36)</f>
        <v>1750000</v>
      </c>
      <c r="C37" s="61">
        <f t="shared" ref="C37:J37" si="23">SUM(C35:C36)</f>
        <v>1892500</v>
      </c>
      <c r="D37" s="61">
        <f t="shared" si="23"/>
        <v>2036250</v>
      </c>
      <c r="E37" s="61">
        <f t="shared" si="23"/>
        <v>2181250</v>
      </c>
      <c r="F37" s="61">
        <f t="shared" si="23"/>
        <v>2327500</v>
      </c>
      <c r="G37" s="61">
        <f t="shared" si="23"/>
        <v>2430000</v>
      </c>
      <c r="H37" s="61">
        <f t="shared" si="23"/>
        <v>2531250</v>
      </c>
      <c r="I37" s="61">
        <f t="shared" si="23"/>
        <v>2506250</v>
      </c>
      <c r="J37" s="61">
        <f t="shared" si="23"/>
        <v>2500000</v>
      </c>
    </row>
    <row r="38" spans="1:10" x14ac:dyDescent="0.6">
      <c r="A38" s="5" t="s">
        <v>184</v>
      </c>
      <c r="B38" s="61">
        <f>B9</f>
        <v>1732500</v>
      </c>
      <c r="C38" s="61">
        <f t="shared" ref="C38:J38" si="24">C9</f>
        <v>1856250</v>
      </c>
      <c r="D38" s="61">
        <f t="shared" si="24"/>
        <v>1980000</v>
      </c>
      <c r="E38" s="61">
        <f t="shared" si="24"/>
        <v>2103750</v>
      </c>
      <c r="F38" s="61">
        <f t="shared" si="24"/>
        <v>2272500</v>
      </c>
      <c r="G38" s="61">
        <f t="shared" si="24"/>
        <v>2398750</v>
      </c>
      <c r="H38" s="61">
        <f t="shared" si="24"/>
        <v>2525000</v>
      </c>
      <c r="I38" s="61">
        <f t="shared" si="24"/>
        <v>2506250</v>
      </c>
      <c r="J38" s="61">
        <f t="shared" si="24"/>
        <v>2500000</v>
      </c>
    </row>
    <row r="39" spans="1:10" x14ac:dyDescent="0.6">
      <c r="A39" s="5" t="s">
        <v>185</v>
      </c>
      <c r="B39" s="61">
        <f>B37-B38</f>
        <v>17500</v>
      </c>
      <c r="C39" s="61">
        <f t="shared" ref="C39:J39" si="25">C37-C38</f>
        <v>36250</v>
      </c>
      <c r="D39" s="61">
        <f t="shared" si="25"/>
        <v>56250</v>
      </c>
      <c r="E39" s="61">
        <f t="shared" si="25"/>
        <v>77500</v>
      </c>
      <c r="F39" s="61">
        <f t="shared" si="25"/>
        <v>55000</v>
      </c>
      <c r="G39" s="61">
        <f t="shared" si="25"/>
        <v>31250</v>
      </c>
      <c r="H39" s="61">
        <f t="shared" si="25"/>
        <v>6250</v>
      </c>
      <c r="I39" s="61">
        <f t="shared" si="25"/>
        <v>0</v>
      </c>
      <c r="J39" s="61">
        <f t="shared" si="25"/>
        <v>0</v>
      </c>
    </row>
    <row r="40" spans="1:10" x14ac:dyDescent="0.6">
      <c r="A40" s="5" t="s">
        <v>295</v>
      </c>
      <c r="B40" s="61">
        <f>B39*$E$21*90%</f>
        <v>614250</v>
      </c>
      <c r="C40" s="61">
        <f t="shared" ref="C40:J40" si="26">C39*$E$21*90%</f>
        <v>1272375</v>
      </c>
      <c r="D40" s="61">
        <f t="shared" si="26"/>
        <v>1974375</v>
      </c>
      <c r="E40" s="61">
        <f t="shared" si="26"/>
        <v>2720250</v>
      </c>
      <c r="F40" s="61">
        <f t="shared" si="26"/>
        <v>1930500</v>
      </c>
      <c r="G40" s="61">
        <f t="shared" si="26"/>
        <v>1096875</v>
      </c>
      <c r="H40" s="61">
        <f t="shared" si="26"/>
        <v>219375</v>
      </c>
      <c r="I40" s="61">
        <f t="shared" si="26"/>
        <v>0</v>
      </c>
      <c r="J40" s="61">
        <f t="shared" si="26"/>
        <v>0</v>
      </c>
    </row>
    <row r="42" spans="1:10" x14ac:dyDescent="0.6">
      <c r="A42" s="4" t="s">
        <v>186</v>
      </c>
    </row>
    <row r="43" spans="1:10" x14ac:dyDescent="0.6">
      <c r="A43" s="4" t="s">
        <v>313</v>
      </c>
    </row>
    <row r="44" spans="1:10" x14ac:dyDescent="0.6">
      <c r="A44" s="4" t="s">
        <v>257</v>
      </c>
    </row>
    <row r="45" spans="1:10" x14ac:dyDescent="0.6">
      <c r="B45" s="4" t="s">
        <v>275</v>
      </c>
    </row>
    <row r="46" spans="1:10" x14ac:dyDescent="0.6">
      <c r="A46" s="4" t="s">
        <v>272</v>
      </c>
      <c r="B46" s="83">
        <v>0.1</v>
      </c>
    </row>
    <row r="47" spans="1:10" x14ac:dyDescent="0.6">
      <c r="A47" s="4" t="s">
        <v>273</v>
      </c>
      <c r="B47" s="83">
        <v>0.4</v>
      </c>
    </row>
    <row r="48" spans="1:10" x14ac:dyDescent="0.6">
      <c r="A48" s="4" t="s">
        <v>274</v>
      </c>
      <c r="B48" s="83">
        <f>1-B47-B46</f>
        <v>0.5</v>
      </c>
    </row>
  </sheetData>
  <mergeCells count="6">
    <mergeCell ref="B3:J3"/>
    <mergeCell ref="A3:A4"/>
    <mergeCell ref="A24:A25"/>
    <mergeCell ref="B24:J24"/>
    <mergeCell ref="A33:A34"/>
    <mergeCell ref="B33:J33"/>
  </mergeCells>
  <pageMargins left="0.7" right="0.7" top="0.75" bottom="0.75" header="0.3" footer="0.3"/>
  <pageSetup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ht="17" x14ac:dyDescent="0.6">
      <c r="A3" t="s">
        <v>215</v>
      </c>
      <c r="B3" s="26">
        <f>'Ann 4'!C23/100000</f>
        <v>2893.2750000000001</v>
      </c>
      <c r="C3" s="26">
        <f>'Ann 4'!D23/100000</f>
        <v>3254.9343749999998</v>
      </c>
      <c r="D3" s="26">
        <f>'Ann 4'!E23/100000</f>
        <v>3471.93</v>
      </c>
      <c r="E3" s="26">
        <f>'Ann 4'!F23/100000</f>
        <v>3688.9256249999999</v>
      </c>
      <c r="F3" s="26">
        <f>'Ann 4'!G23/100000</f>
        <v>3984.8287500000001</v>
      </c>
      <c r="G3" s="1">
        <f>'Ann 4'!H23/100000</f>
        <v>4206.2081250000001</v>
      </c>
      <c r="H3" s="1">
        <f>'Ann 4'!I23/100000</f>
        <v>4427.5874999999996</v>
      </c>
      <c r="I3" s="1">
        <f>'Ann 4'!J23/100000</f>
        <v>4394.7093750000004</v>
      </c>
      <c r="J3" s="1">
        <f>'Ann 4'!K23/100000</f>
        <v>4383.75</v>
      </c>
    </row>
    <row r="4" spans="1:10" ht="17" x14ac:dyDescent="0.6">
      <c r="A4" t="s">
        <v>216</v>
      </c>
      <c r="B4" s="26">
        <f>'Ann 4'!C22/100000</f>
        <v>2877.8732</v>
      </c>
      <c r="C4" s="26">
        <f>'Ann 4'!D22/100000</f>
        <v>3219.5122419999998</v>
      </c>
      <c r="D4" s="26">
        <f>'Ann 4'!E22/100000</f>
        <v>3430.6698515200001</v>
      </c>
      <c r="E4" s="26">
        <f>'Ann 4'!F22/100000</f>
        <v>3642.1756926112002</v>
      </c>
      <c r="F4" s="26">
        <f>'Ann 4'!G22/100000</f>
        <v>3923.7078241678719</v>
      </c>
      <c r="G4" s="1">
        <f>'Ann 4'!H22/100000</f>
        <v>4139.835246867945</v>
      </c>
      <c r="H4" s="1">
        <f>'Ann 4'!I22/100000</f>
        <v>4356.3679525925209</v>
      </c>
      <c r="I4" s="1">
        <f>'Ann 4'!J22/100000</f>
        <v>4328.7867099968216</v>
      </c>
      <c r="J4" s="1">
        <f>'Ann 4'!K22/100000</f>
        <v>4320.6420928453817</v>
      </c>
    </row>
    <row r="5" spans="1:10" ht="17" x14ac:dyDescent="0.6">
      <c r="A5" t="s">
        <v>217</v>
      </c>
      <c r="B5" s="26">
        <f>B3-B4</f>
        <v>15.401800000000094</v>
      </c>
      <c r="C5" s="26">
        <f t="shared" ref="C5:J5" si="0">C3-C4</f>
        <v>35.422133000000031</v>
      </c>
      <c r="D5" s="26">
        <f t="shared" si="0"/>
        <v>41.260148479999771</v>
      </c>
      <c r="E5" s="26">
        <f t="shared" si="0"/>
        <v>46.749932388799607</v>
      </c>
      <c r="F5" s="26">
        <f t="shared" si="0"/>
        <v>61.12092583212825</v>
      </c>
      <c r="G5" s="1">
        <f t="shared" si="0"/>
        <v>66.372878132055121</v>
      </c>
      <c r="H5" s="1">
        <f t="shared" si="0"/>
        <v>71.219547407478785</v>
      </c>
      <c r="I5" s="1">
        <f t="shared" si="0"/>
        <v>65.922665003178736</v>
      </c>
      <c r="J5" s="1">
        <f t="shared" si="0"/>
        <v>63.10790715461826</v>
      </c>
    </row>
    <row r="6" spans="1:10" ht="17" x14ac:dyDescent="0.6">
      <c r="A6" t="s">
        <v>218</v>
      </c>
      <c r="B6" s="26">
        <f>B5</f>
        <v>15.401800000000094</v>
      </c>
      <c r="C6" s="26">
        <f t="shared" ref="C6:J6" si="1">C5</f>
        <v>35.422133000000031</v>
      </c>
      <c r="D6" s="26">
        <f t="shared" si="1"/>
        <v>41.260148479999771</v>
      </c>
      <c r="E6" s="26">
        <f t="shared" si="1"/>
        <v>46.749932388799607</v>
      </c>
      <c r="F6" s="26">
        <f t="shared" si="1"/>
        <v>61.12092583212825</v>
      </c>
      <c r="G6" s="1">
        <f t="shared" si="1"/>
        <v>66.372878132055121</v>
      </c>
      <c r="H6" s="1">
        <f t="shared" si="1"/>
        <v>71.219547407478785</v>
      </c>
      <c r="I6" s="1">
        <f t="shared" si="1"/>
        <v>65.922665003178736</v>
      </c>
      <c r="J6" s="1">
        <f t="shared" si="1"/>
        <v>63.10790715461826</v>
      </c>
    </row>
    <row r="7" spans="1:10" ht="17" x14ac:dyDescent="0.6">
      <c r="A7" t="s">
        <v>219</v>
      </c>
      <c r="B7" s="103">
        <f>'Ann 4'!C34/100000</f>
        <v>1.7048384615384624</v>
      </c>
      <c r="C7" s="103">
        <f>'Ann 4'!D34/100000</f>
        <v>23.323671461538581</v>
      </c>
      <c r="D7" s="103">
        <f>'Ann 4'!E34/100000</f>
        <v>30.682052326153745</v>
      </c>
      <c r="E7" s="103">
        <f>'Ann 4'!F34/100000</f>
        <v>37.545839119569017</v>
      </c>
      <c r="F7" s="103">
        <f>'Ann 4'!G34/100000</f>
        <v>53.165707322512546</v>
      </c>
      <c r="G7" s="2">
        <f>'Ann 4'!H34/100000</f>
        <v>59.559527475805403</v>
      </c>
      <c r="H7" s="2">
        <f>'Ann 4'!I34/100000</f>
        <v>65.456525534282179</v>
      </c>
      <c r="I7" s="2">
        <f>'Ann 4'!J34/100000</f>
        <v>60.945408054037493</v>
      </c>
      <c r="J7" s="2">
        <f>'Ann 4'!K34/100000</f>
        <v>58.538974995848974</v>
      </c>
    </row>
    <row r="8" spans="1:10" ht="17" x14ac:dyDescent="0.6">
      <c r="A8" t="s">
        <v>220</v>
      </c>
      <c r="B8" s="103">
        <f>'Ann 4'!C36/100000</f>
        <v>1.1933869230769236</v>
      </c>
      <c r="C8" s="103">
        <f>'Ann 4'!D36/100000</f>
        <v>16.326570023077004</v>
      </c>
      <c r="D8" s="103">
        <f>'Ann 4'!E36/100000</f>
        <v>21.477436628307622</v>
      </c>
      <c r="E8" s="103">
        <f>'Ann 4'!F36/100000</f>
        <v>26.282087383698308</v>
      </c>
      <c r="F8" s="103">
        <f>'Ann 4'!G36/100000</f>
        <v>37.215995125758788</v>
      </c>
      <c r="G8" s="2">
        <f>'Ann 4'!H36/100000</f>
        <v>41.691669233063784</v>
      </c>
      <c r="H8" s="2">
        <f>'Ann 4'!I36/100000</f>
        <v>45.819567873997521</v>
      </c>
      <c r="I8" s="2">
        <f>'Ann 4'!J36/100000</f>
        <v>42.661785637826249</v>
      </c>
      <c r="J8" s="2">
        <f>'Ann 4'!K36/100000</f>
        <v>40.977282497094286</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2"/>
  <sheetViews>
    <sheetView workbookViewId="0">
      <selection activeCell="B2" sqref="B2"/>
    </sheetView>
  </sheetViews>
  <sheetFormatPr defaultRowHeight="17" x14ac:dyDescent="0.6"/>
  <cols>
    <col min="1" max="1" width="8.7265625" style="4"/>
    <col min="2" max="2" width="84" style="4" bestFit="1" customWidth="1"/>
    <col min="3" max="3" width="12.36328125" style="4" bestFit="1" customWidth="1"/>
    <col min="4" max="12" width="12.54296875" style="4" bestFit="1" customWidth="1"/>
    <col min="13" max="16384" width="8.7265625" style="4"/>
  </cols>
  <sheetData>
    <row r="1" spans="1:12" x14ac:dyDescent="0.6">
      <c r="A1" s="4" t="s">
        <v>240</v>
      </c>
      <c r="B1" s="4" t="s">
        <v>241</v>
      </c>
    </row>
    <row r="2" spans="1:12" x14ac:dyDescent="0.6">
      <c r="A2" s="4">
        <v>1</v>
      </c>
      <c r="B2" s="4" t="s">
        <v>318</v>
      </c>
    </row>
    <row r="3" spans="1:12" x14ac:dyDescent="0.6">
      <c r="A3" s="4">
        <v>2</v>
      </c>
      <c r="B3" s="4" t="s">
        <v>243</v>
      </c>
    </row>
    <row r="4" spans="1:12" x14ac:dyDescent="0.6">
      <c r="C4" s="4" t="s">
        <v>190</v>
      </c>
      <c r="D4" s="4">
        <v>900000</v>
      </c>
      <c r="E4" s="4">
        <f>D4*1.05</f>
        <v>945000</v>
      </c>
      <c r="F4" s="4">
        <f t="shared" ref="F4:J4" si="0">E4*1.05</f>
        <v>992250</v>
      </c>
      <c r="G4" s="4">
        <f t="shared" si="0"/>
        <v>1041862.5</v>
      </c>
      <c r="H4" s="4">
        <f t="shared" si="0"/>
        <v>1093955.625</v>
      </c>
      <c r="I4" s="4">
        <f t="shared" si="0"/>
        <v>1148653.40625</v>
      </c>
      <c r="J4" s="4">
        <f t="shared" si="0"/>
        <v>1206086.0765625001</v>
      </c>
      <c r="K4" s="4">
        <f>J4</f>
        <v>1206086.0765625001</v>
      </c>
      <c r="L4" s="4">
        <f>K4</f>
        <v>1206086.0765625001</v>
      </c>
    </row>
    <row r="5" spans="1:12" x14ac:dyDescent="0.6">
      <c r="C5" s="4" t="s">
        <v>73</v>
      </c>
      <c r="D5" s="4">
        <f>D4*12</f>
        <v>10800000</v>
      </c>
      <c r="E5" s="4">
        <f t="shared" ref="E5:L5" si="1">E4*12</f>
        <v>11340000</v>
      </c>
      <c r="F5" s="4">
        <f t="shared" si="1"/>
        <v>11907000</v>
      </c>
      <c r="G5" s="4">
        <f t="shared" si="1"/>
        <v>12502350</v>
      </c>
      <c r="H5" s="4">
        <f t="shared" si="1"/>
        <v>13127467.5</v>
      </c>
      <c r="I5" s="4">
        <f t="shared" si="1"/>
        <v>13783840.875</v>
      </c>
      <c r="J5" s="4">
        <f t="shared" si="1"/>
        <v>14473032.918750001</v>
      </c>
      <c r="K5" s="4">
        <f t="shared" si="1"/>
        <v>14473032.918750001</v>
      </c>
      <c r="L5" s="4">
        <f t="shared" si="1"/>
        <v>14473032.918750001</v>
      </c>
    </row>
    <row r="6" spans="1:12" x14ac:dyDescent="0.6">
      <c r="A6" s="4">
        <v>3</v>
      </c>
      <c r="B6" s="4" t="s">
        <v>263</v>
      </c>
    </row>
    <row r="7" spans="1:12" x14ac:dyDescent="0.6">
      <c r="A7" s="4">
        <v>4</v>
      </c>
      <c r="B7" s="4" t="s">
        <v>249</v>
      </c>
    </row>
    <row r="8" spans="1:12" x14ac:dyDescent="0.6">
      <c r="A8" s="4">
        <v>5</v>
      </c>
      <c r="B8" s="4" t="s">
        <v>242</v>
      </c>
    </row>
    <row r="9" spans="1:12" x14ac:dyDescent="0.6">
      <c r="A9" s="4">
        <v>6</v>
      </c>
      <c r="B9" s="4" t="s">
        <v>260</v>
      </c>
    </row>
    <row r="10" spans="1:12" x14ac:dyDescent="0.6">
      <c r="A10" s="4">
        <v>7</v>
      </c>
      <c r="B10" s="4" t="s">
        <v>299</v>
      </c>
    </row>
    <row r="11" spans="1:12" x14ac:dyDescent="0.6">
      <c r="A11" s="4">
        <v>8</v>
      </c>
      <c r="B11" s="4" t="s">
        <v>261</v>
      </c>
    </row>
    <row r="12" spans="1:12" ht="51" x14ac:dyDescent="0.6">
      <c r="A12" s="4">
        <v>9</v>
      </c>
      <c r="B12" s="63" t="s">
        <v>262</v>
      </c>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146</v>
      </c>
    </row>
    <row r="2" spans="1:11" x14ac:dyDescent="0.35">
      <c r="C2" t="s">
        <v>39</v>
      </c>
      <c r="D2" t="s">
        <v>40</v>
      </c>
      <c r="E2" t="s">
        <v>41</v>
      </c>
      <c r="F2" t="s">
        <v>42</v>
      </c>
      <c r="G2" t="s">
        <v>43</v>
      </c>
      <c r="H2" t="s">
        <v>44</v>
      </c>
      <c r="I2" t="s">
        <v>45</v>
      </c>
      <c r="J2" t="s">
        <v>46</v>
      </c>
      <c r="K2" t="s">
        <v>47</v>
      </c>
    </row>
    <row r="3" spans="1:11" x14ac:dyDescent="0.35">
      <c r="A3" t="s">
        <v>147</v>
      </c>
      <c r="C3">
        <f>'Ann 4'!C23/300*270</f>
        <v>260394750</v>
      </c>
      <c r="D3">
        <f>'Ann 4'!D23/300*270</f>
        <v>292944093.75</v>
      </c>
      <c r="E3">
        <f>'Ann 4'!E23/300*270</f>
        <v>312473700</v>
      </c>
      <c r="F3">
        <f>'Ann 4'!F23/300*270</f>
        <v>332003306.25</v>
      </c>
      <c r="G3">
        <f>'Ann 4'!G23/300*270</f>
        <v>358634587.5</v>
      </c>
      <c r="H3">
        <f>'Ann 4'!H23/300*270</f>
        <v>378558731.25</v>
      </c>
      <c r="I3">
        <f>'Ann 4'!I23/300*270</f>
        <v>398482875</v>
      </c>
      <c r="J3">
        <f>'Ann 4'!J23/300*270</f>
        <v>395523843.75</v>
      </c>
      <c r="K3">
        <f>'Ann 4'!K23/300*270</f>
        <v>394537500</v>
      </c>
    </row>
    <row r="4" spans="1:11" x14ac:dyDescent="0.35">
      <c r="A4" t="s">
        <v>148</v>
      </c>
      <c r="C4">
        <v>5000000</v>
      </c>
    </row>
    <row r="5" spans="1:11" x14ac:dyDescent="0.35">
      <c r="A5" t="s">
        <v>149</v>
      </c>
      <c r="C5">
        <v>21492978</v>
      </c>
    </row>
    <row r="7" spans="1:11" x14ac:dyDescent="0.35">
      <c r="A7" t="s">
        <v>150</v>
      </c>
      <c r="C7">
        <f>'Ann 3'!G25</f>
        <v>6200000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2"/>
  <sheetViews>
    <sheetView topLeftCell="A22" workbookViewId="0">
      <selection activeCell="C39" sqref="C39"/>
    </sheetView>
  </sheetViews>
  <sheetFormatPr defaultRowHeight="17" x14ac:dyDescent="0.6"/>
  <cols>
    <col min="1" max="1" width="8.7265625" style="4"/>
    <col min="2" max="2" width="44.90625" style="4" customWidth="1"/>
    <col min="3" max="3" width="13.26953125" style="4" customWidth="1"/>
    <col min="4" max="16384" width="8.7265625" style="4"/>
  </cols>
  <sheetData>
    <row r="1" spans="1:3" x14ac:dyDescent="0.6">
      <c r="A1" s="3" t="s">
        <v>244</v>
      </c>
    </row>
    <row r="3" spans="1:3" x14ac:dyDescent="0.6">
      <c r="A3" s="3" t="s">
        <v>0</v>
      </c>
    </row>
    <row r="5" spans="1:3" x14ac:dyDescent="0.6">
      <c r="A5" s="18" t="s">
        <v>1</v>
      </c>
      <c r="B5" s="19"/>
      <c r="C5" s="20"/>
    </row>
    <row r="6" spans="1:3" ht="34" x14ac:dyDescent="0.6">
      <c r="A6" s="21" t="s">
        <v>2</v>
      </c>
      <c r="B6" s="21" t="s">
        <v>3</v>
      </c>
      <c r="C6" s="22" t="s">
        <v>4</v>
      </c>
    </row>
    <row r="7" spans="1:3" x14ac:dyDescent="0.6">
      <c r="A7" s="8">
        <v>1</v>
      </c>
      <c r="B7" s="9" t="s">
        <v>6</v>
      </c>
      <c r="C7" s="10"/>
    </row>
    <row r="8" spans="1:3" x14ac:dyDescent="0.6">
      <c r="A8" s="8" t="s">
        <v>5</v>
      </c>
      <c r="B8" s="9" t="s">
        <v>7</v>
      </c>
      <c r="C8" s="11">
        <v>0</v>
      </c>
    </row>
    <row r="9" spans="1:3" x14ac:dyDescent="0.6">
      <c r="A9" s="8"/>
      <c r="B9" s="9" t="s">
        <v>8</v>
      </c>
      <c r="C9" s="11">
        <f>SUM(C8)</f>
        <v>0</v>
      </c>
    </row>
    <row r="10" spans="1:3" x14ac:dyDescent="0.6">
      <c r="A10" s="8"/>
      <c r="B10" s="9"/>
      <c r="C10" s="10"/>
    </row>
    <row r="11" spans="1:3" x14ac:dyDescent="0.6">
      <c r="A11" s="8">
        <v>2</v>
      </c>
      <c r="B11" s="9" t="s">
        <v>172</v>
      </c>
      <c r="C11" s="11">
        <f>(4000*400)/100000</f>
        <v>16</v>
      </c>
    </row>
    <row r="12" spans="1:3" x14ac:dyDescent="0.6">
      <c r="A12" s="8" t="s">
        <v>5</v>
      </c>
      <c r="B12" s="9" t="s">
        <v>8</v>
      </c>
      <c r="C12" s="11">
        <f>C11</f>
        <v>16</v>
      </c>
    </row>
    <row r="13" spans="1:3" x14ac:dyDescent="0.6">
      <c r="A13" s="8"/>
      <c r="B13" s="9"/>
      <c r="C13" s="10"/>
    </row>
    <row r="14" spans="1:3" x14ac:dyDescent="0.6">
      <c r="A14" s="8">
        <v>3</v>
      </c>
      <c r="B14" s="9" t="s">
        <v>9</v>
      </c>
      <c r="C14" s="10"/>
    </row>
    <row r="15" spans="1:3" x14ac:dyDescent="0.6">
      <c r="A15" s="8" t="s">
        <v>5</v>
      </c>
      <c r="B15" s="9" t="s">
        <v>9</v>
      </c>
      <c r="C15" s="112">
        <v>0</v>
      </c>
    </row>
    <row r="16" spans="1:3" x14ac:dyDescent="0.6">
      <c r="A16" s="8"/>
      <c r="B16" s="9" t="s">
        <v>8</v>
      </c>
      <c r="C16" s="112">
        <f>C15</f>
        <v>0</v>
      </c>
    </row>
    <row r="17" spans="1:4" x14ac:dyDescent="0.6">
      <c r="A17" s="8"/>
      <c r="B17" s="9"/>
      <c r="C17" s="10"/>
    </row>
    <row r="18" spans="1:4" x14ac:dyDescent="0.6">
      <c r="A18" s="8">
        <v>4</v>
      </c>
      <c r="B18" s="9" t="s">
        <v>10</v>
      </c>
      <c r="C18" s="10"/>
    </row>
    <row r="19" spans="1:4" x14ac:dyDescent="0.6">
      <c r="A19" s="8" t="s">
        <v>5</v>
      </c>
      <c r="B19" s="9" t="s">
        <v>11</v>
      </c>
      <c r="C19" s="12">
        <f>'Ann 3'!G23/100000</f>
        <v>46</v>
      </c>
    </row>
    <row r="20" spans="1:4" x14ac:dyDescent="0.6">
      <c r="A20" s="8"/>
      <c r="B20" s="9" t="s">
        <v>8</v>
      </c>
      <c r="C20" s="12">
        <f>C19</f>
        <v>46</v>
      </c>
    </row>
    <row r="21" spans="1:4" x14ac:dyDescent="0.6">
      <c r="A21" s="8"/>
      <c r="B21" s="9"/>
      <c r="C21" s="10"/>
    </row>
    <row r="22" spans="1:4" x14ac:dyDescent="0.6">
      <c r="A22" s="8">
        <v>5</v>
      </c>
      <c r="B22" s="9" t="s">
        <v>12</v>
      </c>
      <c r="C22" s="10"/>
    </row>
    <row r="23" spans="1:4" x14ac:dyDescent="0.6">
      <c r="A23" s="8" t="s">
        <v>5</v>
      </c>
      <c r="B23" s="9" t="s">
        <v>13</v>
      </c>
      <c r="C23" s="11">
        <v>0</v>
      </c>
    </row>
    <row r="24" spans="1:4" x14ac:dyDescent="0.6">
      <c r="A24" s="8"/>
      <c r="B24" s="9"/>
      <c r="C24" s="11"/>
    </row>
    <row r="25" spans="1:4" x14ac:dyDescent="0.6">
      <c r="A25" s="8">
        <v>6</v>
      </c>
      <c r="B25" s="9" t="s">
        <v>14</v>
      </c>
      <c r="C25" s="12">
        <v>20</v>
      </c>
      <c r="D25" s="30"/>
    </row>
    <row r="26" spans="1:4" x14ac:dyDescent="0.6">
      <c r="A26" s="8"/>
      <c r="B26" s="9"/>
      <c r="C26" s="11"/>
    </row>
    <row r="27" spans="1:4" x14ac:dyDescent="0.6">
      <c r="A27" s="8">
        <v>7</v>
      </c>
      <c r="B27" s="9" t="s">
        <v>15</v>
      </c>
      <c r="C27" s="11"/>
    </row>
    <row r="28" spans="1:4" x14ac:dyDescent="0.6">
      <c r="A28" s="8" t="s">
        <v>5</v>
      </c>
      <c r="B28" s="9" t="s">
        <v>16</v>
      </c>
      <c r="C28" s="11">
        <v>0</v>
      </c>
    </row>
    <row r="29" spans="1:4" x14ac:dyDescent="0.6">
      <c r="A29" s="8"/>
      <c r="B29" s="9" t="s">
        <v>8</v>
      </c>
      <c r="C29" s="11"/>
    </row>
    <row r="30" spans="1:4" x14ac:dyDescent="0.6">
      <c r="A30" s="8"/>
      <c r="B30" s="9"/>
      <c r="C30" s="11"/>
    </row>
    <row r="31" spans="1:4" x14ac:dyDescent="0.6">
      <c r="A31" s="8">
        <v>8</v>
      </c>
      <c r="B31" s="9" t="s">
        <v>17</v>
      </c>
      <c r="C31" s="10"/>
    </row>
    <row r="32" spans="1:4" ht="34" x14ac:dyDescent="0.6">
      <c r="A32" s="8"/>
      <c r="B32" s="14" t="s">
        <v>18</v>
      </c>
      <c r="C32" s="10"/>
    </row>
    <row r="33" spans="1:3" x14ac:dyDescent="0.6">
      <c r="A33" s="8" t="s">
        <v>5</v>
      </c>
      <c r="B33" s="9" t="s">
        <v>19</v>
      </c>
      <c r="C33" s="11">
        <v>0</v>
      </c>
    </row>
    <row r="34" spans="1:3" x14ac:dyDescent="0.6">
      <c r="A34" s="8" t="s">
        <v>20</v>
      </c>
      <c r="B34" s="9" t="s">
        <v>21</v>
      </c>
      <c r="C34" s="11">
        <v>0</v>
      </c>
    </row>
    <row r="35" spans="1:3" x14ac:dyDescent="0.6">
      <c r="A35" s="8"/>
      <c r="B35" s="9" t="s">
        <v>8</v>
      </c>
      <c r="C35" s="11">
        <f>SUM(C33:C34)</f>
        <v>0</v>
      </c>
    </row>
    <row r="36" spans="1:3" x14ac:dyDescent="0.6">
      <c r="A36" s="8"/>
      <c r="B36" s="9"/>
      <c r="C36" s="11"/>
    </row>
    <row r="37" spans="1:3" x14ac:dyDescent="0.6">
      <c r="A37" s="8">
        <v>9</v>
      </c>
      <c r="B37" s="9" t="s">
        <v>171</v>
      </c>
      <c r="C37" s="11">
        <v>0</v>
      </c>
    </row>
    <row r="38" spans="1:3" x14ac:dyDescent="0.6">
      <c r="A38" s="8"/>
      <c r="B38" s="9"/>
      <c r="C38" s="10"/>
    </row>
    <row r="39" spans="1:3" x14ac:dyDescent="0.6">
      <c r="A39" s="15"/>
      <c r="B39" s="16" t="s">
        <v>22</v>
      </c>
      <c r="C39" s="119">
        <f>C35+C28+C25+C20+C16+C23+C37+C12</f>
        <v>82</v>
      </c>
    </row>
    <row r="40" spans="1:3" x14ac:dyDescent="0.6">
      <c r="A40" s="17"/>
    </row>
    <row r="41" spans="1:3" x14ac:dyDescent="0.6">
      <c r="A41" s="17"/>
    </row>
    <row r="42" spans="1:3" x14ac:dyDescent="0.6">
      <c r="A42" s="17"/>
    </row>
  </sheetData>
  <pageMargins left="0.7" right="0.7" top="0.75" bottom="0.75" header="0.3" footer="0.3"/>
  <pageSetup scale="9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9"/>
  <sheetViews>
    <sheetView workbookViewId="0">
      <selection activeCell="C6" sqref="C6:C7"/>
    </sheetView>
  </sheetViews>
  <sheetFormatPr defaultRowHeight="17" x14ac:dyDescent="0.6"/>
  <cols>
    <col min="1" max="1" width="8.7265625" style="4"/>
    <col min="2" max="2" width="22.08984375" style="4" customWidth="1"/>
    <col min="3" max="3" width="18.81640625" style="4" bestFit="1" customWidth="1"/>
    <col min="4" max="16384" width="8.7265625" style="4"/>
  </cols>
  <sheetData>
    <row r="1" spans="1:4" x14ac:dyDescent="0.6">
      <c r="A1" s="3" t="s">
        <v>23</v>
      </c>
    </row>
    <row r="3" spans="1:4" x14ac:dyDescent="0.6">
      <c r="A3" s="31" t="s">
        <v>24</v>
      </c>
      <c r="B3" s="19" t="s">
        <v>25</v>
      </c>
      <c r="C3" s="20" t="s">
        <v>4</v>
      </c>
    </row>
    <row r="4" spans="1:4" x14ac:dyDescent="0.6">
      <c r="A4" s="23">
        <v>1</v>
      </c>
      <c r="B4" s="24" t="s">
        <v>26</v>
      </c>
      <c r="C4" s="13">
        <f>C8*10%</f>
        <v>8.2000000000000011</v>
      </c>
      <c r="D4" s="25"/>
    </row>
    <row r="5" spans="1:4" x14ac:dyDescent="0.6">
      <c r="A5" s="23">
        <v>2</v>
      </c>
      <c r="B5" s="24" t="s">
        <v>27</v>
      </c>
      <c r="C5" s="13">
        <v>0</v>
      </c>
      <c r="D5" s="26"/>
    </row>
    <row r="6" spans="1:4" x14ac:dyDescent="0.6">
      <c r="A6" s="23">
        <v>3</v>
      </c>
      <c r="B6" s="24" t="s">
        <v>28</v>
      </c>
      <c r="C6" s="12">
        <f>C8-C4-C7</f>
        <v>53.8</v>
      </c>
      <c r="D6" s="25"/>
    </row>
    <row r="7" spans="1:4" x14ac:dyDescent="0.6">
      <c r="A7" s="23">
        <v>4</v>
      </c>
      <c r="B7" s="24" t="s">
        <v>29</v>
      </c>
      <c r="C7" s="11">
        <f>'Ann 1'!C25</f>
        <v>20</v>
      </c>
    </row>
    <row r="8" spans="1:4" x14ac:dyDescent="0.6">
      <c r="A8" s="27"/>
      <c r="B8" s="28" t="s">
        <v>8</v>
      </c>
      <c r="C8" s="29">
        <f>'Ann 1'!C39</f>
        <v>82</v>
      </c>
    </row>
    <row r="9" spans="1:4" x14ac:dyDescent="0.6">
      <c r="C9" s="3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7"/>
  <sheetViews>
    <sheetView topLeftCell="A10" workbookViewId="0"/>
  </sheetViews>
  <sheetFormatPr defaultRowHeight="17" x14ac:dyDescent="0.6"/>
  <cols>
    <col min="1" max="1" width="3.6328125" style="4" customWidth="1"/>
    <col min="2" max="2" width="26.08984375" style="4" customWidth="1"/>
    <col min="3" max="3" width="8.7265625" style="4"/>
    <col min="4" max="4" width="12.7265625" style="4" bestFit="1" customWidth="1"/>
    <col min="5" max="5" width="8.7265625" style="4"/>
    <col min="6" max="6" width="15.26953125" style="4" bestFit="1" customWidth="1"/>
    <col min="7" max="7" width="11.1796875" style="4" bestFit="1" customWidth="1"/>
    <col min="8" max="8" width="8.7265625" style="4"/>
    <col min="9" max="9" width="9.1796875" style="4" bestFit="1" customWidth="1"/>
    <col min="10" max="16384" width="8.7265625" style="4"/>
  </cols>
  <sheetData>
    <row r="1" spans="1:7" x14ac:dyDescent="0.6">
      <c r="A1" s="3" t="s">
        <v>30</v>
      </c>
    </row>
    <row r="3" spans="1:7" x14ac:dyDescent="0.6">
      <c r="A3" s="31" t="s">
        <v>250</v>
      </c>
      <c r="B3" s="19"/>
      <c r="C3" s="19"/>
      <c r="D3" s="19"/>
      <c r="E3" s="19" t="s">
        <v>31</v>
      </c>
      <c r="F3" s="19"/>
      <c r="G3" s="20" t="s">
        <v>32</v>
      </c>
    </row>
    <row r="4" spans="1:7" x14ac:dyDescent="0.6">
      <c r="A4" s="34">
        <v>1</v>
      </c>
      <c r="B4" s="35" t="s">
        <v>251</v>
      </c>
      <c r="C4" s="36"/>
      <c r="D4" s="35"/>
      <c r="E4" s="35">
        <v>1</v>
      </c>
      <c r="F4" s="37"/>
      <c r="G4" s="38">
        <f>'Ann 1'!C11*100000</f>
        <v>1600000</v>
      </c>
    </row>
    <row r="5" spans="1:7" x14ac:dyDescent="0.6">
      <c r="A5" s="39" t="s">
        <v>34</v>
      </c>
      <c r="B5" s="40"/>
      <c r="C5" s="40"/>
      <c r="D5" s="40"/>
      <c r="E5" s="40"/>
      <c r="F5" s="40"/>
      <c r="G5" s="41">
        <f>G4</f>
        <v>1600000</v>
      </c>
    </row>
    <row r="6" spans="1:7" x14ac:dyDescent="0.6">
      <c r="A6" s="27"/>
      <c r="B6" s="28"/>
      <c r="C6" s="28"/>
      <c r="D6" s="28"/>
      <c r="E6" s="28"/>
      <c r="F6" s="28"/>
      <c r="G6" s="42"/>
    </row>
    <row r="7" spans="1:7" x14ac:dyDescent="0.6">
      <c r="A7" s="31" t="s">
        <v>33</v>
      </c>
      <c r="B7" s="19"/>
      <c r="C7" s="19"/>
      <c r="D7" s="19"/>
      <c r="E7" s="19" t="s">
        <v>31</v>
      </c>
      <c r="F7" s="19" t="s">
        <v>271</v>
      </c>
      <c r="G7" s="20" t="s">
        <v>32</v>
      </c>
    </row>
    <row r="8" spans="1:7" x14ac:dyDescent="0.6">
      <c r="A8" s="23">
        <v>1</v>
      </c>
      <c r="B8" s="43" t="s">
        <v>286</v>
      </c>
      <c r="C8" s="24"/>
      <c r="D8" s="43"/>
      <c r="E8" s="43">
        <v>2</v>
      </c>
      <c r="F8" s="44"/>
      <c r="G8" s="45">
        <f>500000*E8</f>
        <v>1000000</v>
      </c>
    </row>
    <row r="9" spans="1:7" x14ac:dyDescent="0.6">
      <c r="A9" s="23">
        <v>2</v>
      </c>
      <c r="B9" s="43" t="s">
        <v>278</v>
      </c>
      <c r="C9" s="24"/>
      <c r="D9" s="43"/>
      <c r="E9" s="43">
        <v>2</v>
      </c>
      <c r="F9" s="44"/>
      <c r="G9" s="45">
        <f>200000*E9</f>
        <v>400000</v>
      </c>
    </row>
    <row r="10" spans="1:7" x14ac:dyDescent="0.6">
      <c r="A10" s="23">
        <v>3</v>
      </c>
      <c r="B10" s="43" t="s">
        <v>279</v>
      </c>
      <c r="C10" s="24"/>
      <c r="D10" s="43"/>
      <c r="E10" s="43"/>
      <c r="F10" s="44"/>
      <c r="G10" s="45">
        <v>50000</v>
      </c>
    </row>
    <row r="11" spans="1:7" x14ac:dyDescent="0.6">
      <c r="A11" s="23">
        <v>4</v>
      </c>
      <c r="B11" s="43" t="s">
        <v>280</v>
      </c>
      <c r="C11" s="24"/>
      <c r="D11" s="43"/>
      <c r="E11" s="43">
        <v>2</v>
      </c>
      <c r="F11" s="44"/>
      <c r="G11" s="45">
        <f>40000*E11</f>
        <v>80000</v>
      </c>
    </row>
    <row r="12" spans="1:7" x14ac:dyDescent="0.6">
      <c r="A12" s="23">
        <v>5</v>
      </c>
      <c r="B12" s="43" t="s">
        <v>281</v>
      </c>
      <c r="C12" s="24"/>
      <c r="D12" s="43"/>
      <c r="E12" s="43">
        <v>3</v>
      </c>
      <c r="F12" s="44"/>
      <c r="G12" s="45">
        <f>20000*E12</f>
        <v>60000</v>
      </c>
    </row>
    <row r="13" spans="1:7" x14ac:dyDescent="0.6">
      <c r="A13" s="23">
        <v>6</v>
      </c>
      <c r="B13" s="43" t="s">
        <v>282</v>
      </c>
      <c r="C13" s="24"/>
      <c r="D13" s="43"/>
      <c r="E13" s="43">
        <v>1</v>
      </c>
      <c r="F13" s="44"/>
      <c r="G13" s="45">
        <v>30000</v>
      </c>
    </row>
    <row r="14" spans="1:7" x14ac:dyDescent="0.6">
      <c r="A14" s="23">
        <v>7</v>
      </c>
      <c r="B14" s="43" t="s">
        <v>283</v>
      </c>
      <c r="C14" s="24"/>
      <c r="D14" s="43"/>
      <c r="E14" s="43">
        <v>1</v>
      </c>
      <c r="F14" s="44"/>
      <c r="G14" s="45">
        <v>50000</v>
      </c>
    </row>
    <row r="15" spans="1:7" x14ac:dyDescent="0.6">
      <c r="A15" s="23">
        <v>8</v>
      </c>
      <c r="B15" s="43" t="s">
        <v>284</v>
      </c>
      <c r="C15" s="24"/>
      <c r="D15" s="43"/>
      <c r="E15" s="43"/>
      <c r="F15" s="44"/>
      <c r="G15" s="45">
        <v>200000</v>
      </c>
    </row>
    <row r="16" spans="1:7" x14ac:dyDescent="0.6">
      <c r="A16" s="23">
        <v>9</v>
      </c>
      <c r="B16" s="43" t="s">
        <v>308</v>
      </c>
      <c r="C16" s="24"/>
      <c r="D16" s="43"/>
      <c r="E16" s="43"/>
      <c r="F16" s="44"/>
      <c r="G16" s="45">
        <v>500000</v>
      </c>
    </row>
    <row r="17" spans="1:7" x14ac:dyDescent="0.6">
      <c r="A17" s="23">
        <v>10</v>
      </c>
      <c r="B17" s="43" t="s">
        <v>309</v>
      </c>
      <c r="C17" s="24"/>
      <c r="D17" s="43"/>
      <c r="E17" s="43"/>
      <c r="F17" s="44"/>
      <c r="G17" s="45">
        <v>1200000</v>
      </c>
    </row>
    <row r="18" spans="1:7" x14ac:dyDescent="0.6">
      <c r="A18" s="23">
        <v>11</v>
      </c>
      <c r="B18" s="43" t="s">
        <v>314</v>
      </c>
      <c r="C18" s="24"/>
      <c r="D18" s="43"/>
      <c r="E18" s="43">
        <v>2</v>
      </c>
      <c r="F18" s="44"/>
      <c r="G18" s="45">
        <f>150000*E18</f>
        <v>300000</v>
      </c>
    </row>
    <row r="19" spans="1:7" x14ac:dyDescent="0.6">
      <c r="A19" s="23">
        <v>12</v>
      </c>
      <c r="B19" s="43" t="s">
        <v>315</v>
      </c>
      <c r="C19" s="24"/>
      <c r="D19" s="43"/>
      <c r="E19" s="43"/>
      <c r="F19" s="44"/>
      <c r="G19" s="45">
        <v>200000</v>
      </c>
    </row>
    <row r="20" spans="1:7" x14ac:dyDescent="0.6">
      <c r="A20" s="23">
        <v>13</v>
      </c>
      <c r="B20" s="43" t="s">
        <v>310</v>
      </c>
      <c r="C20" s="24"/>
      <c r="D20" s="43"/>
      <c r="E20" s="43">
        <v>1</v>
      </c>
      <c r="F20" s="44"/>
      <c r="G20" s="45">
        <v>200000</v>
      </c>
    </row>
    <row r="21" spans="1:7" x14ac:dyDescent="0.6">
      <c r="A21" s="23">
        <v>14</v>
      </c>
      <c r="B21" s="43" t="s">
        <v>316</v>
      </c>
      <c r="C21" s="24"/>
      <c r="D21" s="43"/>
      <c r="E21" s="43"/>
      <c r="F21" s="44"/>
      <c r="G21" s="45">
        <v>250000</v>
      </c>
    </row>
    <row r="22" spans="1:7" x14ac:dyDescent="0.6">
      <c r="A22" s="23">
        <v>15</v>
      </c>
      <c r="B22" s="43" t="s">
        <v>285</v>
      </c>
      <c r="C22" s="24"/>
      <c r="D22" s="43"/>
      <c r="E22" s="43"/>
      <c r="F22" s="44"/>
      <c r="G22" s="45">
        <v>80000</v>
      </c>
    </row>
    <row r="23" spans="1:7" s="3" customFormat="1" x14ac:dyDescent="0.6">
      <c r="A23" s="39" t="s">
        <v>34</v>
      </c>
      <c r="B23" s="40"/>
      <c r="C23" s="40"/>
      <c r="D23" s="40"/>
      <c r="E23" s="40"/>
      <c r="F23" s="40"/>
      <c r="G23" s="41">
        <f>SUM(G8:G22)</f>
        <v>4600000</v>
      </c>
    </row>
    <row r="24" spans="1:7" x14ac:dyDescent="0.6">
      <c r="A24" s="23"/>
      <c r="B24" s="24"/>
      <c r="C24" s="24"/>
      <c r="D24" s="24"/>
      <c r="E24" s="24"/>
      <c r="F24" s="24"/>
      <c r="G24" s="10"/>
    </row>
    <row r="25" spans="1:7" s="3" customFormat="1" x14ac:dyDescent="0.6">
      <c r="A25" s="39" t="s">
        <v>35</v>
      </c>
      <c r="B25" s="40"/>
      <c r="C25" s="40"/>
      <c r="D25" s="40"/>
      <c r="E25" s="40"/>
      <c r="F25" s="40"/>
      <c r="G25" s="41">
        <f>G23+G5</f>
        <v>6200000</v>
      </c>
    </row>
    <row r="26" spans="1:7" x14ac:dyDescent="0.6">
      <c r="G26" s="32"/>
    </row>
    <row r="27" spans="1:7" x14ac:dyDescent="0.6">
      <c r="G27" s="4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8"/>
  <sheetViews>
    <sheetView workbookViewId="0">
      <selection activeCell="B2" sqref="B2"/>
    </sheetView>
  </sheetViews>
  <sheetFormatPr defaultRowHeight="17" x14ac:dyDescent="0.6"/>
  <cols>
    <col min="1" max="1" width="8.7265625" style="4"/>
    <col min="2" max="2" width="55.7265625" style="4" bestFit="1" customWidth="1"/>
    <col min="3" max="11" width="15.6328125" style="4" bestFit="1" customWidth="1"/>
    <col min="12" max="16384" width="8.7265625" style="4"/>
  </cols>
  <sheetData>
    <row r="1" spans="1:11" x14ac:dyDescent="0.6">
      <c r="A1" s="3" t="s">
        <v>36</v>
      </c>
    </row>
    <row r="3" spans="1:11" x14ac:dyDescent="0.6">
      <c r="A3" s="120" t="s">
        <v>37</v>
      </c>
      <c r="B3" s="120" t="s">
        <v>38</v>
      </c>
      <c r="C3" s="120" t="s">
        <v>48</v>
      </c>
      <c r="D3" s="120"/>
      <c r="E3" s="120"/>
      <c r="F3" s="120"/>
      <c r="G3" s="120"/>
      <c r="H3" s="120"/>
      <c r="I3" s="120"/>
      <c r="J3" s="120"/>
      <c r="K3" s="120"/>
    </row>
    <row r="4" spans="1:11" x14ac:dyDescent="0.6">
      <c r="A4" s="120"/>
      <c r="B4" s="120"/>
      <c r="C4" s="62" t="s">
        <v>39</v>
      </c>
      <c r="D4" s="62" t="s">
        <v>40</v>
      </c>
      <c r="E4" s="62" t="s">
        <v>41</v>
      </c>
      <c r="F4" s="62" t="s">
        <v>42</v>
      </c>
      <c r="G4" s="62" t="s">
        <v>43</v>
      </c>
      <c r="H4" s="62" t="s">
        <v>44</v>
      </c>
      <c r="I4" s="62" t="s">
        <v>45</v>
      </c>
      <c r="J4" s="62" t="s">
        <v>46</v>
      </c>
      <c r="K4" s="62" t="s">
        <v>47</v>
      </c>
    </row>
    <row r="5" spans="1:11" x14ac:dyDescent="0.6">
      <c r="A5" s="5"/>
      <c r="B5" s="5" t="s">
        <v>49</v>
      </c>
      <c r="C5" s="5">
        <v>12</v>
      </c>
      <c r="D5" s="5">
        <v>12</v>
      </c>
      <c r="E5" s="5">
        <v>12</v>
      </c>
      <c r="F5" s="5">
        <v>12</v>
      </c>
      <c r="G5" s="5">
        <v>12</v>
      </c>
      <c r="H5" s="5">
        <v>12</v>
      </c>
      <c r="I5" s="5">
        <v>12</v>
      </c>
      <c r="J5" s="5">
        <v>12</v>
      </c>
      <c r="K5" s="5">
        <v>12</v>
      </c>
    </row>
    <row r="6" spans="1:11" x14ac:dyDescent="0.6">
      <c r="A6" s="5"/>
      <c r="B6" s="5"/>
      <c r="C6" s="5"/>
      <c r="D6" s="5"/>
      <c r="E6" s="5"/>
      <c r="F6" s="5"/>
      <c r="G6" s="5"/>
      <c r="H6" s="5"/>
      <c r="I6" s="5"/>
      <c r="J6" s="5"/>
      <c r="K6" s="5"/>
    </row>
    <row r="7" spans="1:11" x14ac:dyDescent="0.6">
      <c r="A7" s="5"/>
      <c r="B7" s="5" t="s">
        <v>188</v>
      </c>
      <c r="C7" s="49">
        <f>((Budgets!B7+Budgets!B6)/90%)*Budgets!$D$21</f>
        <v>227500000</v>
      </c>
      <c r="D7" s="49">
        <f>((Budgets!C7+Budgets!C6)/90%)*Budgets!$D$21*1.05</f>
        <v>255937500</v>
      </c>
      <c r="E7" s="49">
        <f>((Budgets!D7+Budgets!D6)/90%)*Budgets!$D$21*1.05</f>
        <v>273000000</v>
      </c>
      <c r="F7" s="49">
        <f>((Budgets!E7+Budgets!E6)/90%)*Budgets!$D$21*1.05</f>
        <v>290062500</v>
      </c>
      <c r="G7" s="49">
        <f>((Budgets!F7+Budgets!F6)/90%)*Budgets!$D$21*1.05</f>
        <v>307125000</v>
      </c>
      <c r="H7" s="49">
        <f>((Budgets!G7+Budgets!G6)/90%)*Budgets!$D$21*1.05</f>
        <v>324187500</v>
      </c>
      <c r="I7" s="49">
        <f>((Budgets!H7+Budgets!H6)/90%)*Budgets!$D$21*1.05</f>
        <v>341250000</v>
      </c>
      <c r="J7" s="49">
        <f>((Budgets!I7+Budgets!I6)/90%)*Budgets!$D$21*1.05</f>
        <v>341250000</v>
      </c>
      <c r="K7" s="49">
        <f>((Budgets!J7+Budgets!J6)/90%)*Budgets!$D$21*1.05</f>
        <v>341250000</v>
      </c>
    </row>
    <row r="8" spans="1:11" x14ac:dyDescent="0.6">
      <c r="A8" s="5"/>
      <c r="B8" s="5" t="s">
        <v>189</v>
      </c>
      <c r="C8" s="49">
        <f>1000000+C43</f>
        <v>11800000</v>
      </c>
      <c r="D8" s="49">
        <f t="shared" ref="D8:K8" si="0">1000000+D43</f>
        <v>12340000</v>
      </c>
      <c r="E8" s="49">
        <f t="shared" si="0"/>
        <v>12907000</v>
      </c>
      <c r="F8" s="49">
        <f t="shared" si="0"/>
        <v>13502350</v>
      </c>
      <c r="G8" s="49">
        <f t="shared" si="0"/>
        <v>14127467.5</v>
      </c>
      <c r="H8" s="49">
        <f t="shared" si="0"/>
        <v>14783840.875</v>
      </c>
      <c r="I8" s="49">
        <f t="shared" si="0"/>
        <v>15473032.918750001</v>
      </c>
      <c r="J8" s="49">
        <f t="shared" si="0"/>
        <v>15473032.918750001</v>
      </c>
      <c r="K8" s="49">
        <f t="shared" si="0"/>
        <v>15473032.918750001</v>
      </c>
    </row>
    <row r="9" spans="1:11" x14ac:dyDescent="0.6">
      <c r="A9" s="5"/>
      <c r="B9" s="5" t="s">
        <v>297</v>
      </c>
      <c r="C9" s="49">
        <f>C7*15%</f>
        <v>34125000</v>
      </c>
      <c r="D9" s="49">
        <f t="shared" ref="D9:K9" si="1">D7*15%</f>
        <v>38390625</v>
      </c>
      <c r="E9" s="49">
        <f t="shared" si="1"/>
        <v>40950000</v>
      </c>
      <c r="F9" s="49">
        <f t="shared" si="1"/>
        <v>43509375</v>
      </c>
      <c r="G9" s="49">
        <f t="shared" si="1"/>
        <v>46068750</v>
      </c>
      <c r="H9" s="49">
        <f t="shared" si="1"/>
        <v>48628125</v>
      </c>
      <c r="I9" s="49">
        <f t="shared" si="1"/>
        <v>51187500</v>
      </c>
      <c r="J9" s="49">
        <f t="shared" si="1"/>
        <v>51187500</v>
      </c>
      <c r="K9" s="49">
        <f t="shared" si="1"/>
        <v>51187500</v>
      </c>
    </row>
    <row r="10" spans="1:11" x14ac:dyDescent="0.6">
      <c r="A10" s="5"/>
      <c r="B10" s="5" t="s">
        <v>311</v>
      </c>
      <c r="C10" s="49">
        <v>1200000</v>
      </c>
      <c r="D10" s="49">
        <v>1200000</v>
      </c>
      <c r="E10" s="49">
        <v>1200000</v>
      </c>
      <c r="F10" s="49">
        <v>1200000</v>
      </c>
      <c r="G10" s="49">
        <v>1200000</v>
      </c>
      <c r="H10" s="49">
        <v>1200000</v>
      </c>
      <c r="I10" s="49">
        <v>1200000</v>
      </c>
      <c r="J10" s="49">
        <v>1200000</v>
      </c>
      <c r="K10" s="49">
        <v>1200000</v>
      </c>
    </row>
    <row r="11" spans="1:11" x14ac:dyDescent="0.6">
      <c r="A11" s="5"/>
      <c r="B11" s="5" t="s">
        <v>191</v>
      </c>
      <c r="C11" s="49">
        <f>SUM(C7:C10)</f>
        <v>274625000</v>
      </c>
      <c r="D11" s="49">
        <f t="shared" ref="D11:K11" si="2">SUM(D7:D10)</f>
        <v>307868125</v>
      </c>
      <c r="E11" s="49">
        <f t="shared" si="2"/>
        <v>328057000</v>
      </c>
      <c r="F11" s="49">
        <f t="shared" si="2"/>
        <v>348274225</v>
      </c>
      <c r="G11" s="49">
        <f t="shared" si="2"/>
        <v>368521217.5</v>
      </c>
      <c r="H11" s="49">
        <f t="shared" si="2"/>
        <v>388799465.875</v>
      </c>
      <c r="I11" s="49">
        <f t="shared" si="2"/>
        <v>409110532.91874999</v>
      </c>
      <c r="J11" s="49">
        <f t="shared" si="2"/>
        <v>409110532.91874999</v>
      </c>
      <c r="K11" s="49">
        <f t="shared" si="2"/>
        <v>409110532.91874999</v>
      </c>
    </row>
    <row r="12" spans="1:11" x14ac:dyDescent="0.6">
      <c r="A12" s="5"/>
      <c r="B12" s="5" t="s">
        <v>192</v>
      </c>
      <c r="C12" s="49">
        <v>0</v>
      </c>
      <c r="D12" s="49">
        <f>C13</f>
        <v>2630250</v>
      </c>
      <c r="E12" s="49">
        <f t="shared" ref="E12:K12" si="3">D13</f>
        <v>5448375</v>
      </c>
      <c r="F12" s="49">
        <f t="shared" si="3"/>
        <v>8454375</v>
      </c>
      <c r="G12" s="49">
        <f t="shared" si="3"/>
        <v>11648250</v>
      </c>
      <c r="H12" s="49">
        <f t="shared" si="3"/>
        <v>8266500</v>
      </c>
      <c r="I12" s="49">
        <f t="shared" si="3"/>
        <v>4696875</v>
      </c>
      <c r="J12" s="49">
        <f t="shared" si="3"/>
        <v>939375</v>
      </c>
      <c r="K12" s="49">
        <f t="shared" si="3"/>
        <v>0</v>
      </c>
    </row>
    <row r="13" spans="1:11" x14ac:dyDescent="0.6">
      <c r="A13" s="5"/>
      <c r="B13" s="5" t="s">
        <v>193</v>
      </c>
      <c r="C13" s="49">
        <f>Budgets!B40+Budgets!B31</f>
        <v>2630250</v>
      </c>
      <c r="D13" s="49">
        <f>Budgets!C40+Budgets!C31</f>
        <v>5448375</v>
      </c>
      <c r="E13" s="49">
        <f>Budgets!D40+Budgets!D31</f>
        <v>8454375</v>
      </c>
      <c r="F13" s="49">
        <f>Budgets!E40+Budgets!E31</f>
        <v>11648250</v>
      </c>
      <c r="G13" s="49">
        <f>Budgets!F40+Budgets!F31</f>
        <v>8266500</v>
      </c>
      <c r="H13" s="49">
        <f>Budgets!G40+Budgets!G31</f>
        <v>4696875</v>
      </c>
      <c r="I13" s="49">
        <f>Budgets!H40+Budgets!H31</f>
        <v>939375</v>
      </c>
      <c r="J13" s="49">
        <f>Budgets!I40+Budgets!I31</f>
        <v>0</v>
      </c>
      <c r="K13" s="49">
        <f>Budgets!J40+Budgets!J31</f>
        <v>0</v>
      </c>
    </row>
    <row r="14" spans="1:11" x14ac:dyDescent="0.6">
      <c r="A14" s="5"/>
      <c r="B14" s="5" t="s">
        <v>195</v>
      </c>
      <c r="C14" s="49">
        <f>C11+C12-C13</f>
        <v>271994750</v>
      </c>
      <c r="D14" s="49">
        <f t="shared" ref="D14:K14" si="4">D11+D12-D13</f>
        <v>305050000</v>
      </c>
      <c r="E14" s="49">
        <f t="shared" si="4"/>
        <v>325051000</v>
      </c>
      <c r="F14" s="49">
        <f t="shared" si="4"/>
        <v>345080350</v>
      </c>
      <c r="G14" s="49">
        <f t="shared" si="4"/>
        <v>371902967.5</v>
      </c>
      <c r="H14" s="49">
        <f t="shared" si="4"/>
        <v>392369090.875</v>
      </c>
      <c r="I14" s="49">
        <f t="shared" si="4"/>
        <v>412868032.91874999</v>
      </c>
      <c r="J14" s="49">
        <f t="shared" si="4"/>
        <v>410049907.91874999</v>
      </c>
      <c r="K14" s="49">
        <f t="shared" si="4"/>
        <v>409110532.91874999</v>
      </c>
    </row>
    <row r="15" spans="1:11" x14ac:dyDescent="0.6">
      <c r="A15" s="5"/>
      <c r="B15" s="5"/>
      <c r="C15" s="49"/>
      <c r="D15" s="49"/>
      <c r="E15" s="49"/>
      <c r="F15" s="49"/>
      <c r="G15" s="49"/>
      <c r="H15" s="49"/>
      <c r="I15" s="49"/>
      <c r="J15" s="49"/>
      <c r="K15" s="49"/>
    </row>
    <row r="16" spans="1:11" x14ac:dyDescent="0.6">
      <c r="A16" s="5"/>
      <c r="B16" s="5"/>
      <c r="C16" s="49"/>
      <c r="D16" s="49"/>
      <c r="E16" s="49"/>
      <c r="F16" s="49"/>
      <c r="G16" s="49"/>
      <c r="H16" s="49"/>
      <c r="I16" s="49"/>
      <c r="J16" s="49"/>
      <c r="K16" s="49"/>
    </row>
    <row r="17" spans="1:11" x14ac:dyDescent="0.6">
      <c r="A17" s="5"/>
      <c r="B17" s="5" t="s">
        <v>51</v>
      </c>
      <c r="C17" s="49">
        <f>'Ann 8'!E13</f>
        <v>1696320</v>
      </c>
      <c r="D17" s="49">
        <f>1.06*C17</f>
        <v>1798099.2000000002</v>
      </c>
      <c r="E17" s="49">
        <f t="shared" ref="E17:K17" si="5">1.06*D17</f>
        <v>1905985.1520000002</v>
      </c>
      <c r="F17" s="49">
        <f t="shared" si="5"/>
        <v>2020344.2611200004</v>
      </c>
      <c r="G17" s="49">
        <f t="shared" si="5"/>
        <v>2141564.9167872006</v>
      </c>
      <c r="H17" s="49">
        <f t="shared" si="5"/>
        <v>2270058.8117944328</v>
      </c>
      <c r="I17" s="49">
        <f t="shared" si="5"/>
        <v>2406262.3405020991</v>
      </c>
      <c r="J17" s="49">
        <f t="shared" si="5"/>
        <v>2550638.0809322251</v>
      </c>
      <c r="K17" s="49">
        <f t="shared" si="5"/>
        <v>2703676.365788159</v>
      </c>
    </row>
    <row r="18" spans="1:11" x14ac:dyDescent="0.6">
      <c r="A18" s="5"/>
      <c r="B18" s="5" t="s">
        <v>264</v>
      </c>
      <c r="C18" s="49">
        <f>2*(Budgets!B6+Budgets!B7)</f>
        <v>6300000</v>
      </c>
      <c r="D18" s="49">
        <f>2*(Budgets!C6+Budgets!C7)</f>
        <v>6750000</v>
      </c>
      <c r="E18" s="49">
        <f>2*(Budgets!D6+Budgets!D7)</f>
        <v>7200000</v>
      </c>
      <c r="F18" s="49">
        <f>2*(Budgets!E6+Budgets!E7)</f>
        <v>7650000</v>
      </c>
      <c r="G18" s="49">
        <f>2*(Budgets!F6+Budgets!F7)</f>
        <v>8100000</v>
      </c>
      <c r="H18" s="49">
        <f>2*(Budgets!G6+Budgets!G7)</f>
        <v>8550000</v>
      </c>
      <c r="I18" s="49">
        <f>2*(Budgets!H6+Budgets!H7)</f>
        <v>9000000</v>
      </c>
      <c r="J18" s="49">
        <f>2*(Budgets!I6+Budgets!I7)</f>
        <v>9000000</v>
      </c>
      <c r="K18" s="49">
        <f>2*(Budgets!J6+Budgets!J7)</f>
        <v>9000000</v>
      </c>
    </row>
    <row r="19" spans="1:11" x14ac:dyDescent="0.6">
      <c r="A19" s="5"/>
      <c r="B19" s="5" t="s">
        <v>298</v>
      </c>
      <c r="C19" s="49">
        <f>2.5*(Budgets!B8+Budgets!B9)</f>
        <v>7796250</v>
      </c>
      <c r="D19" s="49">
        <f>2.5*(Budgets!C8+Budgets!C9)</f>
        <v>8353125</v>
      </c>
      <c r="E19" s="49">
        <f>2.5*(Budgets!D8+Budgets!D9)</f>
        <v>8910000</v>
      </c>
      <c r="F19" s="49">
        <f>2.5*(Budgets!E8+Budgets!E9)</f>
        <v>9466875</v>
      </c>
      <c r="G19" s="49">
        <f>2.5*(Budgets!F8+Budgets!F9)</f>
        <v>10226250</v>
      </c>
      <c r="H19" s="49">
        <f>2.5*(Budgets!G8+Budgets!G9)</f>
        <v>10794375</v>
      </c>
      <c r="I19" s="49">
        <f>2.5*(Budgets!H8+Budgets!H9)</f>
        <v>11362500</v>
      </c>
      <c r="J19" s="49">
        <f>2.5*(Budgets!I8+Budgets!I9)</f>
        <v>11278125</v>
      </c>
      <c r="K19" s="49">
        <f>2.5*(Budgets!J8+Budgets!J9)</f>
        <v>11250000</v>
      </c>
    </row>
    <row r="20" spans="1:11" x14ac:dyDescent="0.6">
      <c r="A20" s="5"/>
      <c r="B20" s="5" t="s">
        <v>8</v>
      </c>
      <c r="C20" s="49">
        <f t="shared" ref="C20:K20" si="6">SUM(C17:C19)</f>
        <v>15792570</v>
      </c>
      <c r="D20" s="49">
        <f t="shared" si="6"/>
        <v>16901224.199999999</v>
      </c>
      <c r="E20" s="49">
        <f t="shared" si="6"/>
        <v>18015985.152000003</v>
      </c>
      <c r="F20" s="49">
        <f t="shared" si="6"/>
        <v>19137219.261119999</v>
      </c>
      <c r="G20" s="49">
        <f t="shared" si="6"/>
        <v>20467814.9167872</v>
      </c>
      <c r="H20" s="49">
        <f t="shared" si="6"/>
        <v>21614433.811794434</v>
      </c>
      <c r="I20" s="49">
        <f t="shared" si="6"/>
        <v>22768762.340502098</v>
      </c>
      <c r="J20" s="49">
        <f t="shared" si="6"/>
        <v>22828763.080932226</v>
      </c>
      <c r="K20" s="49">
        <f t="shared" si="6"/>
        <v>22953676.365788158</v>
      </c>
    </row>
    <row r="21" spans="1:11" x14ac:dyDescent="0.6">
      <c r="A21" s="5"/>
      <c r="B21" s="5"/>
      <c r="C21" s="49"/>
      <c r="D21" s="49"/>
      <c r="E21" s="49"/>
      <c r="F21" s="49"/>
      <c r="G21" s="49"/>
      <c r="H21" s="49"/>
      <c r="I21" s="49"/>
      <c r="J21" s="49"/>
      <c r="K21" s="49"/>
    </row>
    <row r="22" spans="1:11" x14ac:dyDescent="0.6">
      <c r="A22" s="5"/>
      <c r="B22" s="5" t="s">
        <v>92</v>
      </c>
      <c r="C22" s="49">
        <f t="shared" ref="C22:K22" si="7">C20+C14</f>
        <v>287787320</v>
      </c>
      <c r="D22" s="49">
        <f t="shared" si="7"/>
        <v>321951224.19999999</v>
      </c>
      <c r="E22" s="49">
        <f t="shared" si="7"/>
        <v>343066985.15200001</v>
      </c>
      <c r="F22" s="49">
        <f t="shared" si="7"/>
        <v>364217569.26112002</v>
      </c>
      <c r="G22" s="49">
        <f t="shared" si="7"/>
        <v>392370782.41678721</v>
      </c>
      <c r="H22" s="49">
        <f t="shared" si="7"/>
        <v>413983524.68679446</v>
      </c>
      <c r="I22" s="49">
        <f t="shared" si="7"/>
        <v>435636795.25925207</v>
      </c>
      <c r="J22" s="49">
        <f t="shared" si="7"/>
        <v>432878670.99968219</v>
      </c>
      <c r="K22" s="49">
        <f t="shared" si="7"/>
        <v>432064209.28453815</v>
      </c>
    </row>
    <row r="23" spans="1:11" x14ac:dyDescent="0.6">
      <c r="A23" s="5"/>
      <c r="B23" s="5" t="s">
        <v>93</v>
      </c>
      <c r="C23" s="49">
        <f>Budgets!B12</f>
        <v>289327500</v>
      </c>
      <c r="D23" s="49">
        <f>Budgets!C12</f>
        <v>325493437.5</v>
      </c>
      <c r="E23" s="49">
        <f>Budgets!D12</f>
        <v>347193000</v>
      </c>
      <c r="F23" s="49">
        <f>Budgets!E12</f>
        <v>368892562.5</v>
      </c>
      <c r="G23" s="49">
        <f>Budgets!F12</f>
        <v>398482875</v>
      </c>
      <c r="H23" s="49">
        <f>Budgets!G12</f>
        <v>420620812.5</v>
      </c>
      <c r="I23" s="49">
        <f>Budgets!H12</f>
        <v>442758750</v>
      </c>
      <c r="J23" s="49">
        <f>Budgets!I12</f>
        <v>439470937.5</v>
      </c>
      <c r="K23" s="49">
        <f>Budgets!J12</f>
        <v>438375000</v>
      </c>
    </row>
    <row r="24" spans="1:11" x14ac:dyDescent="0.6">
      <c r="A24" s="5"/>
      <c r="B24" s="5" t="s">
        <v>94</v>
      </c>
      <c r="C24" s="49">
        <f>C23-C22</f>
        <v>1540180</v>
      </c>
      <c r="D24" s="49">
        <f t="shared" ref="D24:K24" si="8">D23-D22</f>
        <v>3542213.3000000119</v>
      </c>
      <c r="E24" s="49">
        <f t="shared" si="8"/>
        <v>4126014.84799999</v>
      </c>
      <c r="F24" s="49">
        <f t="shared" si="8"/>
        <v>4674993.2388799787</v>
      </c>
      <c r="G24" s="49">
        <f t="shared" si="8"/>
        <v>6112092.5832127929</v>
      </c>
      <c r="H24" s="49">
        <f t="shared" si="8"/>
        <v>6637287.8132055402</v>
      </c>
      <c r="I24" s="49">
        <f t="shared" si="8"/>
        <v>7121954.7407479286</v>
      </c>
      <c r="J24" s="49">
        <f t="shared" si="8"/>
        <v>6592266.500317812</v>
      </c>
      <c r="K24" s="49">
        <f t="shared" si="8"/>
        <v>6310790.7154618502</v>
      </c>
    </row>
    <row r="25" spans="1:11" x14ac:dyDescent="0.6">
      <c r="A25" s="5"/>
      <c r="B25" s="5"/>
      <c r="C25" s="49"/>
      <c r="D25" s="49"/>
      <c r="E25" s="49"/>
      <c r="F25" s="49"/>
      <c r="G25" s="49"/>
      <c r="H25" s="49"/>
      <c r="I25" s="49"/>
      <c r="J25" s="49"/>
      <c r="K25" s="49"/>
    </row>
    <row r="26" spans="1:11" x14ac:dyDescent="0.6">
      <c r="A26" s="5"/>
      <c r="B26" s="5" t="s">
        <v>95</v>
      </c>
      <c r="C26" s="49"/>
      <c r="D26" s="49"/>
      <c r="E26" s="49"/>
      <c r="F26" s="49"/>
      <c r="G26" s="49"/>
      <c r="H26" s="49"/>
      <c r="I26" s="49"/>
      <c r="J26" s="49"/>
      <c r="K26" s="49"/>
    </row>
    <row r="27" spans="1:11" x14ac:dyDescent="0.6">
      <c r="A27" s="5"/>
      <c r="B27" s="5" t="s">
        <v>96</v>
      </c>
      <c r="C27" s="49">
        <f>SUM('Ann 13'!E9:E12)*100000</f>
        <v>319696.15384615381</v>
      </c>
      <c r="D27" s="49">
        <f>SUM('Ann 13'!E13:E16)*100000</f>
        <v>279346.15384615376</v>
      </c>
      <c r="E27" s="49">
        <f>SUM('Ann 13'!E17:E20)*100000</f>
        <v>229684.61538461532</v>
      </c>
      <c r="F27" s="49">
        <f>SUM('Ann 13'!E21:E24)*100000</f>
        <v>180023.07692307679</v>
      </c>
      <c r="G27" s="49">
        <f>SUM('Ann 13'!E25:E28)*100000</f>
        <v>130361.53846153831</v>
      </c>
      <c r="H27" s="49">
        <f>SUM('Ann 13'!E29:E32)*100000</f>
        <v>80699.999999999811</v>
      </c>
      <c r="I27" s="49">
        <f>SUM('Ann 13'!E33:E36)*100000</f>
        <v>31038.461538461364</v>
      </c>
      <c r="J27" s="49">
        <v>0</v>
      </c>
      <c r="K27" s="49">
        <v>0</v>
      </c>
    </row>
    <row r="28" spans="1:11" x14ac:dyDescent="0.6">
      <c r="A28" s="5"/>
      <c r="B28" s="5" t="s">
        <v>170</v>
      </c>
      <c r="C28" s="49">
        <f>'Ann 2'!$C$7*10%*100000</f>
        <v>200000</v>
      </c>
      <c r="D28" s="49">
        <f>'Ann 2'!$C$7*10%*100000</f>
        <v>200000</v>
      </c>
      <c r="E28" s="49">
        <f>'Ann 2'!$C$7*10%*100000</f>
        <v>200000</v>
      </c>
      <c r="F28" s="49">
        <f>'Ann 2'!$C$7*10%*100000</f>
        <v>200000</v>
      </c>
      <c r="G28" s="49">
        <f>'Ann 2'!$C$7*10%*100000</f>
        <v>200000</v>
      </c>
      <c r="H28" s="49">
        <f>'Ann 2'!$C$7*10%*100000</f>
        <v>200000</v>
      </c>
      <c r="I28" s="49">
        <f>'Ann 2'!$C$7*10%*100000</f>
        <v>200000</v>
      </c>
      <c r="J28" s="49">
        <f>'Ann 2'!$C$7*10%*100000</f>
        <v>200000</v>
      </c>
      <c r="K28" s="49">
        <f>'Ann 2'!$C$7*10%*100000</f>
        <v>200000</v>
      </c>
    </row>
    <row r="29" spans="1:11" x14ac:dyDescent="0.6">
      <c r="A29" s="5"/>
      <c r="B29" s="50" t="s">
        <v>106</v>
      </c>
      <c r="C29" s="49">
        <f>SUM(C27:C28)</f>
        <v>519696.15384615381</v>
      </c>
      <c r="D29" s="49">
        <f t="shared" ref="D29:K29" si="9">SUM(D27:D28)</f>
        <v>479346.15384615376</v>
      </c>
      <c r="E29" s="49">
        <f t="shared" si="9"/>
        <v>429684.61538461532</v>
      </c>
      <c r="F29" s="49">
        <f t="shared" si="9"/>
        <v>380023.07692307676</v>
      </c>
      <c r="G29" s="49">
        <f t="shared" si="9"/>
        <v>330361.53846153832</v>
      </c>
      <c r="H29" s="49">
        <f t="shared" si="9"/>
        <v>280699.99999999983</v>
      </c>
      <c r="I29" s="49">
        <f t="shared" si="9"/>
        <v>231038.46153846136</v>
      </c>
      <c r="J29" s="49">
        <f t="shared" si="9"/>
        <v>200000</v>
      </c>
      <c r="K29" s="49">
        <f t="shared" si="9"/>
        <v>200000</v>
      </c>
    </row>
    <row r="30" spans="1:11" x14ac:dyDescent="0.6">
      <c r="A30" s="5"/>
      <c r="B30" s="5"/>
      <c r="C30" s="49"/>
      <c r="D30" s="49"/>
      <c r="E30" s="49"/>
      <c r="F30" s="49"/>
      <c r="G30" s="49"/>
      <c r="H30" s="49"/>
      <c r="I30" s="49"/>
      <c r="J30" s="49"/>
      <c r="K30" s="49"/>
    </row>
    <row r="31" spans="1:11" x14ac:dyDescent="0.6">
      <c r="A31" s="5"/>
      <c r="B31" s="5" t="s">
        <v>107</v>
      </c>
      <c r="C31" s="49">
        <f t="shared" ref="C31:K31" si="10">C24-C29</f>
        <v>1020483.8461538462</v>
      </c>
      <c r="D31" s="49">
        <f t="shared" si="10"/>
        <v>3062867.1461538579</v>
      </c>
      <c r="E31" s="49">
        <f t="shared" si="10"/>
        <v>3696330.2326153745</v>
      </c>
      <c r="F31" s="49">
        <f t="shared" si="10"/>
        <v>4294970.1619569017</v>
      </c>
      <c r="G31" s="49">
        <f t="shared" si="10"/>
        <v>5781731.0447512548</v>
      </c>
      <c r="H31" s="49">
        <f t="shared" si="10"/>
        <v>6356587.8132055402</v>
      </c>
      <c r="I31" s="49">
        <f t="shared" si="10"/>
        <v>6890916.2792094676</v>
      </c>
      <c r="J31" s="49">
        <f t="shared" si="10"/>
        <v>6392266.500317812</v>
      </c>
      <c r="K31" s="49">
        <f t="shared" si="10"/>
        <v>6110790.7154618502</v>
      </c>
    </row>
    <row r="32" spans="1:11" x14ac:dyDescent="0.6">
      <c r="A32" s="5"/>
      <c r="B32" s="5" t="s">
        <v>198</v>
      </c>
      <c r="C32" s="49">
        <f>'Ann 1'!C35*100000</f>
        <v>0</v>
      </c>
      <c r="D32" s="49">
        <v>0</v>
      </c>
      <c r="E32" s="49">
        <v>0</v>
      </c>
      <c r="F32" s="49">
        <v>0</v>
      </c>
      <c r="G32" s="49">
        <v>0</v>
      </c>
      <c r="H32" s="49">
        <v>0</v>
      </c>
      <c r="I32" s="49">
        <v>0</v>
      </c>
      <c r="J32" s="49">
        <v>0</v>
      </c>
      <c r="K32" s="49">
        <v>0</v>
      </c>
    </row>
    <row r="33" spans="1:11" x14ac:dyDescent="0.6">
      <c r="A33" s="5"/>
      <c r="B33" s="50" t="s">
        <v>108</v>
      </c>
      <c r="C33" s="49">
        <f>'Ann 9'!C12+'Ann 9'!D12+'Ann 9'!E12</f>
        <v>850000</v>
      </c>
      <c r="D33" s="49">
        <f>'Ann 9'!C13+'Ann 9'!D13+'Ann 9'!E13</f>
        <v>730500</v>
      </c>
      <c r="E33" s="49">
        <f>'Ann 9'!C14+'Ann 9'!D14+'Ann 9'!E14</f>
        <v>628125</v>
      </c>
      <c r="F33" s="49">
        <f>'Ann 9'!C15+'Ann 9'!D15+'Ann 9'!E15</f>
        <v>540386.25</v>
      </c>
      <c r="G33" s="49">
        <f>'Ann 9'!C16+'Ann 9'!D16+'Ann 9'!E16</f>
        <v>465160.3125</v>
      </c>
      <c r="H33" s="49">
        <f>'Ann 9'!C17+'Ann 9'!D17+'Ann 9'!E17</f>
        <v>400635.06562499999</v>
      </c>
      <c r="I33" s="49">
        <f>'Ann 9'!C18+'Ann 9'!D18+'Ann 9'!E18</f>
        <v>345263.72578124999</v>
      </c>
      <c r="J33" s="49">
        <f>'Ann 9'!C19+'Ann 9'!D19+'Ann 9'!E19</f>
        <v>297725.69491406251</v>
      </c>
      <c r="K33" s="49">
        <f>'Ann 9'!C20+'Ann 9'!D20+'Ann 9'!E20</f>
        <v>256893.21587695315</v>
      </c>
    </row>
    <row r="34" spans="1:11" x14ac:dyDescent="0.6">
      <c r="A34" s="5"/>
      <c r="B34" s="50" t="s">
        <v>109</v>
      </c>
      <c r="C34" s="49">
        <f>C31-C33-C32</f>
        <v>170483.84615384624</v>
      </c>
      <c r="D34" s="49">
        <f t="shared" ref="D34:K34" si="11">D31-D33-D32</f>
        <v>2332367.1461538579</v>
      </c>
      <c r="E34" s="49">
        <f t="shared" si="11"/>
        <v>3068205.2326153745</v>
      </c>
      <c r="F34" s="49">
        <f t="shared" si="11"/>
        <v>3754583.9119569017</v>
      </c>
      <c r="G34" s="49">
        <f t="shared" si="11"/>
        <v>5316570.7322512548</v>
      </c>
      <c r="H34" s="49">
        <f t="shared" si="11"/>
        <v>5955952.7475805404</v>
      </c>
      <c r="I34" s="49">
        <f t="shared" si="11"/>
        <v>6545652.5534282178</v>
      </c>
      <c r="J34" s="49">
        <f t="shared" si="11"/>
        <v>6094540.8054037495</v>
      </c>
      <c r="K34" s="49">
        <f t="shared" si="11"/>
        <v>5853897.4995848974</v>
      </c>
    </row>
    <row r="35" spans="1:11" x14ac:dyDescent="0.6">
      <c r="A35" s="5"/>
      <c r="B35" s="50" t="s">
        <v>110</v>
      </c>
      <c r="C35" s="49">
        <f>'Ann 10'!B14</f>
        <v>51145.153846153873</v>
      </c>
      <c r="D35" s="49">
        <f>'Ann 10'!C14</f>
        <v>699710.14384615736</v>
      </c>
      <c r="E35" s="49">
        <f>'Ann 10'!D14</f>
        <v>920461.56978461228</v>
      </c>
      <c r="F35" s="49">
        <f>'Ann 10'!E14</f>
        <v>1126375.1735870705</v>
      </c>
      <c r="G35" s="49">
        <f>'Ann 10'!F14</f>
        <v>1594971.2196753763</v>
      </c>
      <c r="H35" s="49">
        <f>'Ann 10'!G14</f>
        <v>1786785.8242741621</v>
      </c>
      <c r="I35" s="49">
        <f>'Ann 10'!H14</f>
        <v>1963695.7660284652</v>
      </c>
      <c r="J35" s="49">
        <f>'Ann 10'!I14</f>
        <v>1828362.2416211248</v>
      </c>
      <c r="K35" s="49">
        <f>'Ann 10'!J14</f>
        <v>1756169.2498754691</v>
      </c>
    </row>
    <row r="36" spans="1:11" x14ac:dyDescent="0.6">
      <c r="A36" s="5"/>
      <c r="B36" s="50" t="s">
        <v>111</v>
      </c>
      <c r="C36" s="49">
        <f>C34-C35</f>
        <v>119338.69230769237</v>
      </c>
      <c r="D36" s="49">
        <f>D34-D35</f>
        <v>1632657.0023077005</v>
      </c>
      <c r="E36" s="49">
        <f t="shared" ref="E36:K36" si="12">E34-E35</f>
        <v>2147743.6628307621</v>
      </c>
      <c r="F36" s="49">
        <f t="shared" si="12"/>
        <v>2628208.7383698309</v>
      </c>
      <c r="G36" s="49">
        <f t="shared" si="12"/>
        <v>3721599.5125758788</v>
      </c>
      <c r="H36" s="49">
        <f t="shared" si="12"/>
        <v>4169166.9233063785</v>
      </c>
      <c r="I36" s="49">
        <f t="shared" si="12"/>
        <v>4581956.7873997521</v>
      </c>
      <c r="J36" s="49">
        <f t="shared" si="12"/>
        <v>4266178.5637826249</v>
      </c>
      <c r="K36" s="49">
        <f t="shared" si="12"/>
        <v>4097728.2497094283</v>
      </c>
    </row>
    <row r="37" spans="1:11" x14ac:dyDescent="0.6">
      <c r="A37" s="5"/>
      <c r="B37" s="50" t="s">
        <v>296</v>
      </c>
      <c r="C37" s="49">
        <f>C36*50%</f>
        <v>59669.346153846185</v>
      </c>
      <c r="D37" s="49">
        <f t="shared" ref="D37:K37" si="13">D36*50%</f>
        <v>816328.50115385023</v>
      </c>
      <c r="E37" s="49">
        <f t="shared" si="13"/>
        <v>1073871.831415381</v>
      </c>
      <c r="F37" s="49">
        <f t="shared" si="13"/>
        <v>1314104.3691849154</v>
      </c>
      <c r="G37" s="49">
        <f t="shared" si="13"/>
        <v>1860799.7562879394</v>
      </c>
      <c r="H37" s="49">
        <f t="shared" si="13"/>
        <v>2084583.4616531893</v>
      </c>
      <c r="I37" s="49">
        <f t="shared" si="13"/>
        <v>2290978.393699876</v>
      </c>
      <c r="J37" s="49">
        <f t="shared" si="13"/>
        <v>2133089.2818913125</v>
      </c>
      <c r="K37" s="49">
        <f t="shared" si="13"/>
        <v>2048864.1248547141</v>
      </c>
    </row>
    <row r="38" spans="1:11" x14ac:dyDescent="0.6">
      <c r="A38" s="5"/>
      <c r="B38" s="50" t="s">
        <v>121</v>
      </c>
      <c r="C38" s="49">
        <f>C36-C37</f>
        <v>59669.346153846185</v>
      </c>
      <c r="D38" s="49">
        <f t="shared" ref="D38:K38" si="14">D36-D37</f>
        <v>816328.50115385023</v>
      </c>
      <c r="E38" s="49">
        <f t="shared" si="14"/>
        <v>1073871.831415381</v>
      </c>
      <c r="F38" s="49">
        <f t="shared" si="14"/>
        <v>1314104.3691849154</v>
      </c>
      <c r="G38" s="49">
        <f t="shared" si="14"/>
        <v>1860799.7562879394</v>
      </c>
      <c r="H38" s="49">
        <f t="shared" si="14"/>
        <v>2084583.4616531893</v>
      </c>
      <c r="I38" s="49">
        <f t="shared" si="14"/>
        <v>2290978.393699876</v>
      </c>
      <c r="J38" s="49">
        <f t="shared" si="14"/>
        <v>2133089.2818913125</v>
      </c>
      <c r="K38" s="49">
        <f t="shared" si="14"/>
        <v>2048864.1248547141</v>
      </c>
    </row>
    <row r="40" spans="1:11" x14ac:dyDescent="0.6">
      <c r="A40" s="4" t="s">
        <v>319</v>
      </c>
    </row>
    <row r="41" spans="1:11" x14ac:dyDescent="0.6">
      <c r="A41" s="4" t="s">
        <v>266</v>
      </c>
    </row>
    <row r="42" spans="1:11" x14ac:dyDescent="0.6">
      <c r="B42" s="4" t="s">
        <v>190</v>
      </c>
      <c r="C42" s="4">
        <v>900000</v>
      </c>
      <c r="D42" s="4">
        <f>C42*1.05</f>
        <v>945000</v>
      </c>
      <c r="E42" s="4">
        <f t="shared" ref="E42:I42" si="15">D42*1.05</f>
        <v>992250</v>
      </c>
      <c r="F42" s="4">
        <f t="shared" si="15"/>
        <v>1041862.5</v>
      </c>
      <c r="G42" s="4">
        <f t="shared" si="15"/>
        <v>1093955.625</v>
      </c>
      <c r="H42" s="4">
        <f t="shared" si="15"/>
        <v>1148653.40625</v>
      </c>
      <c r="I42" s="4">
        <f t="shared" si="15"/>
        <v>1206086.0765625001</v>
      </c>
      <c r="J42" s="4">
        <f>I42</f>
        <v>1206086.0765625001</v>
      </c>
      <c r="K42" s="4">
        <f>J42</f>
        <v>1206086.0765625001</v>
      </c>
    </row>
    <row r="43" spans="1:11" x14ac:dyDescent="0.6">
      <c r="B43" s="4" t="s">
        <v>73</v>
      </c>
      <c r="C43" s="4">
        <f>C42*12</f>
        <v>10800000</v>
      </c>
      <c r="D43" s="4">
        <f t="shared" ref="D43:K43" si="16">D42*12</f>
        <v>11340000</v>
      </c>
      <c r="E43" s="4">
        <f t="shared" si="16"/>
        <v>11907000</v>
      </c>
      <c r="F43" s="4">
        <f t="shared" si="16"/>
        <v>12502350</v>
      </c>
      <c r="G43" s="4">
        <f t="shared" si="16"/>
        <v>13127467.5</v>
      </c>
      <c r="H43" s="4">
        <f t="shared" si="16"/>
        <v>13783840.875</v>
      </c>
      <c r="I43" s="4">
        <f t="shared" si="16"/>
        <v>14473032.918750001</v>
      </c>
      <c r="J43" s="4">
        <f t="shared" si="16"/>
        <v>14473032.918750001</v>
      </c>
      <c r="K43" s="4">
        <f t="shared" si="16"/>
        <v>14473032.918750001</v>
      </c>
    </row>
    <row r="44" spans="1:11" x14ac:dyDescent="0.6">
      <c r="A44" s="4" t="s">
        <v>267</v>
      </c>
    </row>
    <row r="46" spans="1:11" x14ac:dyDescent="0.6">
      <c r="D46" s="4">
        <f>6600000/100</f>
        <v>66000</v>
      </c>
    </row>
    <row r="47" spans="1:11" x14ac:dyDescent="0.6">
      <c r="D47" s="4">
        <f>186/12.4</f>
        <v>15</v>
      </c>
    </row>
    <row r="48" spans="1:11" x14ac:dyDescent="0.6">
      <c r="D48" s="4">
        <f>D47*D46</f>
        <v>990000</v>
      </c>
    </row>
  </sheetData>
  <mergeCells count="3">
    <mergeCell ref="C3:K3"/>
    <mergeCell ref="B3:B4"/>
    <mergeCell ref="A3:A4"/>
  </mergeCells>
  <pageMargins left="0.7" right="0.7" top="0.75" bottom="0.75" header="0.3" footer="0.3"/>
  <pageSetup scale="59"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abSelected="1" topLeftCell="A33" workbookViewId="0"/>
  </sheetViews>
  <sheetFormatPr defaultRowHeight="17" x14ac:dyDescent="0.6"/>
  <cols>
    <col min="1" max="1" width="8.7265625" style="4"/>
    <col min="2" max="2" width="28.26953125" style="4" customWidth="1"/>
    <col min="3" max="3" width="15.6328125" style="4" bestFit="1" customWidth="1"/>
    <col min="4" max="10" width="13.7265625" style="4" bestFit="1" customWidth="1"/>
    <col min="11" max="11" width="13.6328125" style="4" bestFit="1" customWidth="1"/>
    <col min="12" max="12" width="10" style="4" bestFit="1" customWidth="1"/>
    <col min="13" max="16384" width="8.7265625" style="4"/>
  </cols>
  <sheetData>
    <row r="1" spans="1:11" x14ac:dyDescent="0.6">
      <c r="A1" s="3" t="s">
        <v>122</v>
      </c>
    </row>
    <row r="3" spans="1:11" x14ac:dyDescent="0.6">
      <c r="A3" s="4" t="s">
        <v>302</v>
      </c>
    </row>
    <row r="5" spans="1:11" x14ac:dyDescent="0.6">
      <c r="A5" s="120" t="s">
        <v>37</v>
      </c>
      <c r="B5" s="120" t="s">
        <v>38</v>
      </c>
      <c r="C5" s="121" t="s">
        <v>48</v>
      </c>
      <c r="D5" s="121"/>
      <c r="E5" s="121"/>
      <c r="F5" s="121"/>
      <c r="G5" s="121"/>
      <c r="H5" s="121"/>
      <c r="I5" s="121"/>
      <c r="J5" s="121"/>
      <c r="K5" s="121"/>
    </row>
    <row r="6" spans="1:11" x14ac:dyDescent="0.6">
      <c r="A6" s="120"/>
      <c r="B6" s="120"/>
      <c r="C6" s="21" t="s">
        <v>39</v>
      </c>
      <c r="D6" s="21" t="s">
        <v>40</v>
      </c>
      <c r="E6" s="21" t="s">
        <v>41</v>
      </c>
      <c r="F6" s="21" t="s">
        <v>42</v>
      </c>
      <c r="G6" s="21" t="s">
        <v>43</v>
      </c>
      <c r="H6" s="21" t="s">
        <v>44</v>
      </c>
      <c r="I6" s="21" t="s">
        <v>45</v>
      </c>
      <c r="J6" s="21" t="s">
        <v>46</v>
      </c>
      <c r="K6" s="21" t="s">
        <v>47</v>
      </c>
    </row>
    <row r="7" spans="1:11" x14ac:dyDescent="0.6">
      <c r="A7" s="34" t="s">
        <v>156</v>
      </c>
      <c r="B7" s="64" t="s">
        <v>123</v>
      </c>
      <c r="C7" s="65"/>
      <c r="D7" s="65"/>
      <c r="E7" s="66"/>
      <c r="F7" s="66"/>
      <c r="G7" s="66"/>
      <c r="H7" s="66"/>
      <c r="I7" s="66"/>
      <c r="J7" s="66"/>
      <c r="K7" s="66"/>
    </row>
    <row r="8" spans="1:11" x14ac:dyDescent="0.6">
      <c r="A8" s="23">
        <v>1</v>
      </c>
      <c r="B8" s="24" t="s">
        <v>124</v>
      </c>
      <c r="C8" s="9"/>
      <c r="D8" s="9"/>
      <c r="E8" s="10"/>
      <c r="F8" s="10"/>
      <c r="G8" s="10"/>
      <c r="H8" s="10"/>
      <c r="I8" s="10"/>
      <c r="J8" s="10"/>
      <c r="K8" s="10"/>
    </row>
    <row r="9" spans="1:11" x14ac:dyDescent="0.6">
      <c r="A9" s="23"/>
      <c r="B9" s="24" t="s">
        <v>125</v>
      </c>
      <c r="C9" s="67">
        <f>'Ann 9'!C6+'Ann 9'!D6+'Ann 9'!E6</f>
        <v>6200000</v>
      </c>
      <c r="D9" s="68">
        <f>C11</f>
        <v>5350000</v>
      </c>
      <c r="E9" s="13">
        <f t="shared" ref="E9:K9" si="0">D11</f>
        <v>4619500</v>
      </c>
      <c r="F9" s="13">
        <f t="shared" si="0"/>
        <v>3991375</v>
      </c>
      <c r="G9" s="13">
        <f t="shared" si="0"/>
        <v>3450988.75</v>
      </c>
      <c r="H9" s="13">
        <f t="shared" si="0"/>
        <v>2985828.4375</v>
      </c>
      <c r="I9" s="13">
        <f t="shared" si="0"/>
        <v>2585193.3718750002</v>
      </c>
      <c r="J9" s="13">
        <f t="shared" si="0"/>
        <v>2239929.6460937504</v>
      </c>
      <c r="K9" s="13">
        <f t="shared" si="0"/>
        <v>1942203.9511796879</v>
      </c>
    </row>
    <row r="10" spans="1:11" x14ac:dyDescent="0.6">
      <c r="A10" s="23"/>
      <c r="B10" s="24" t="s">
        <v>126</v>
      </c>
      <c r="C10" s="67">
        <f>'Ann 9'!C12+'Ann 9'!D12+'Ann 9'!E12</f>
        <v>850000</v>
      </c>
      <c r="D10" s="68">
        <f>'Ann 9'!C13+'Ann 9'!D13+'Ann 9'!E13</f>
        <v>730500</v>
      </c>
      <c r="E10" s="13">
        <f>'Ann 9'!C14+'Ann 9'!D14+'Ann 9'!E14</f>
        <v>628125</v>
      </c>
      <c r="F10" s="13">
        <f>'Ann 9'!C15+'Ann 9'!D15+'Ann 9'!E15</f>
        <v>540386.25</v>
      </c>
      <c r="G10" s="13">
        <f>'Ann 9'!C16+'Ann 9'!D16+'Ann 9'!E16</f>
        <v>465160.3125</v>
      </c>
      <c r="H10" s="13">
        <f>'Ann 9'!C17+'Ann 9'!D17+'Ann 9'!E17</f>
        <v>400635.06562499999</v>
      </c>
      <c r="I10" s="13">
        <f>+'Ann 9'!C18+'Ann 9'!D18+'Ann 9'!E18</f>
        <v>345263.72578124999</v>
      </c>
      <c r="J10" s="13">
        <f>'Ann 9'!C19+'Ann 9'!D19+'Ann 9'!E19</f>
        <v>297725.69491406251</v>
      </c>
      <c r="K10" s="13">
        <f>+'Ann 9'!C20+'Ann 9'!D20+'Ann 9'!E20</f>
        <v>256893.21587695315</v>
      </c>
    </row>
    <row r="11" spans="1:11" x14ac:dyDescent="0.6">
      <c r="A11" s="23"/>
      <c r="B11" s="24" t="s">
        <v>127</v>
      </c>
      <c r="C11" s="67">
        <f>C9-C10</f>
        <v>5350000</v>
      </c>
      <c r="D11" s="68">
        <f>D9-D10</f>
        <v>4619500</v>
      </c>
      <c r="E11" s="13">
        <f t="shared" ref="E11:K11" si="1">E9-E10</f>
        <v>3991375</v>
      </c>
      <c r="F11" s="13">
        <f t="shared" si="1"/>
        <v>3450988.75</v>
      </c>
      <c r="G11" s="13">
        <f t="shared" si="1"/>
        <v>2985828.4375</v>
      </c>
      <c r="H11" s="13">
        <f t="shared" si="1"/>
        <v>2585193.3718750002</v>
      </c>
      <c r="I11" s="13">
        <f t="shared" si="1"/>
        <v>2239929.6460937504</v>
      </c>
      <c r="J11" s="13">
        <f t="shared" si="1"/>
        <v>1942203.9511796879</v>
      </c>
      <c r="K11" s="13">
        <f t="shared" si="1"/>
        <v>1685310.7353027347</v>
      </c>
    </row>
    <row r="12" spans="1:11" x14ac:dyDescent="0.6">
      <c r="A12" s="23">
        <v>2</v>
      </c>
      <c r="B12" s="69" t="s">
        <v>185</v>
      </c>
      <c r="C12" s="67">
        <f>'Ann 4'!C13</f>
        <v>2630250</v>
      </c>
      <c r="D12" s="67">
        <f>'Ann 4'!D13</f>
        <v>5448375</v>
      </c>
      <c r="E12" s="67">
        <f>'Ann 4'!E13</f>
        <v>8454375</v>
      </c>
      <c r="F12" s="67">
        <f>'Ann 4'!F13</f>
        <v>11648250</v>
      </c>
      <c r="G12" s="67">
        <f>'Ann 4'!G13</f>
        <v>8266500</v>
      </c>
      <c r="H12" s="67">
        <f>'Ann 4'!H13</f>
        <v>4696875</v>
      </c>
      <c r="I12" s="67">
        <f>'Ann 4'!I13</f>
        <v>939375</v>
      </c>
      <c r="J12" s="67">
        <f>'Ann 4'!J13</f>
        <v>0</v>
      </c>
      <c r="K12" s="67">
        <f>'Ann 4'!K13</f>
        <v>0</v>
      </c>
    </row>
    <row r="13" spans="1:11" x14ac:dyDescent="0.6">
      <c r="A13" s="23">
        <v>3</v>
      </c>
      <c r="B13" s="24" t="s">
        <v>128</v>
      </c>
      <c r="C13" s="67">
        <f>'Ann 4'!C23*30/300</f>
        <v>28932750</v>
      </c>
      <c r="D13" s="67">
        <f>'Ann 4'!D23*30/360</f>
        <v>27124453.125</v>
      </c>
      <c r="E13" s="67">
        <f>'Ann 4'!E23*30/360</f>
        <v>28932750</v>
      </c>
      <c r="F13" s="67">
        <f>'Ann 4'!F23*30/360</f>
        <v>30741046.875</v>
      </c>
      <c r="G13" s="67">
        <f>'Ann 4'!G23*30/360</f>
        <v>33206906.25</v>
      </c>
      <c r="H13" s="67">
        <f>'Ann 4'!H23*30/360</f>
        <v>35051734.375</v>
      </c>
      <c r="I13" s="67">
        <f>'Ann 4'!I23*30/360</f>
        <v>36896562.5</v>
      </c>
      <c r="J13" s="67">
        <f>'Ann 4'!J23*30/360</f>
        <v>36622578.125</v>
      </c>
      <c r="K13" s="67">
        <f>'Ann 4'!K23*30/360</f>
        <v>36531250</v>
      </c>
    </row>
    <row r="14" spans="1:11" x14ac:dyDescent="0.6">
      <c r="A14" s="23">
        <v>4</v>
      </c>
      <c r="B14" s="24" t="s">
        <v>129</v>
      </c>
      <c r="C14" s="70">
        <f>'Ann 14'!C19</f>
        <v>16432823.192307694</v>
      </c>
      <c r="D14" s="70">
        <f>'Ann 14'!D19</f>
        <v>13298381.260769252</v>
      </c>
      <c r="E14" s="70">
        <f>'Ann 14'!E19</f>
        <v>12202138.909492321</v>
      </c>
      <c r="F14" s="70">
        <f>'Ann 14'!F19</f>
        <v>11070515.345984923</v>
      </c>
      <c r="G14" s="70">
        <f>'Ann 14'!G19</f>
        <v>16328423.732080564</v>
      </c>
      <c r="H14" s="70">
        <f>'Ann 14'!H19</f>
        <v>22554496.826666459</v>
      </c>
      <c r="I14" s="70">
        <f>'Ann 14'!I19</f>
        <v>29119468.513455294</v>
      </c>
      <c r="J14" s="70">
        <f>'Ann 14'!J19</f>
        <v>32763642.865260649</v>
      </c>
      <c r="K14" s="70">
        <f>'Ann 14'!K19</f>
        <v>35160728.330992326</v>
      </c>
    </row>
    <row r="15" spans="1:11" x14ac:dyDescent="0.6">
      <c r="A15" s="23"/>
      <c r="B15" s="24" t="s">
        <v>137</v>
      </c>
      <c r="C15" s="67">
        <f t="shared" ref="C15:K15" si="2">SUM(C11:C14)</f>
        <v>53345823.192307696</v>
      </c>
      <c r="D15" s="67">
        <f t="shared" si="2"/>
        <v>50490709.385769248</v>
      </c>
      <c r="E15" s="71">
        <f t="shared" si="2"/>
        <v>53580638.909492321</v>
      </c>
      <c r="F15" s="71">
        <f t="shared" si="2"/>
        <v>56910800.970984921</v>
      </c>
      <c r="G15" s="71">
        <f t="shared" si="2"/>
        <v>60787658.419580564</v>
      </c>
      <c r="H15" s="71">
        <f t="shared" si="2"/>
        <v>64888299.573541462</v>
      </c>
      <c r="I15" s="71">
        <f t="shared" si="2"/>
        <v>69195335.659549043</v>
      </c>
      <c r="J15" s="71">
        <f t="shared" si="2"/>
        <v>71328424.941440344</v>
      </c>
      <c r="K15" s="71">
        <f t="shared" si="2"/>
        <v>73377289.066295058</v>
      </c>
    </row>
    <row r="16" spans="1:11" x14ac:dyDescent="0.6">
      <c r="A16" s="23"/>
      <c r="B16" s="24"/>
      <c r="C16" s="67"/>
      <c r="D16" s="67"/>
      <c r="E16" s="71"/>
      <c r="F16" s="71"/>
      <c r="G16" s="71"/>
      <c r="H16" s="71"/>
      <c r="I16" s="71"/>
      <c r="J16" s="71"/>
      <c r="K16" s="71"/>
    </row>
    <row r="17" spans="1:13" x14ac:dyDescent="0.6">
      <c r="A17" s="23" t="s">
        <v>157</v>
      </c>
      <c r="B17" s="72" t="s">
        <v>130</v>
      </c>
      <c r="C17" s="9"/>
      <c r="D17" s="9"/>
      <c r="E17" s="10"/>
      <c r="F17" s="10"/>
      <c r="G17" s="10"/>
      <c r="H17" s="10"/>
      <c r="I17" s="10"/>
      <c r="J17" s="10"/>
      <c r="K17" s="10"/>
    </row>
    <row r="18" spans="1:13" x14ac:dyDescent="0.6">
      <c r="A18" s="23">
        <v>1</v>
      </c>
      <c r="B18" s="24" t="s">
        <v>131</v>
      </c>
      <c r="C18" s="70">
        <f>'Ann 2'!C4*100000</f>
        <v>820000.00000000012</v>
      </c>
      <c r="D18" s="70">
        <f>C21</f>
        <v>879669.34615384624</v>
      </c>
      <c r="E18" s="33">
        <f t="shared" ref="E18:K18" si="3">D21</f>
        <v>1695997.8473076965</v>
      </c>
      <c r="F18" s="33">
        <f t="shared" si="3"/>
        <v>2769869.6787230773</v>
      </c>
      <c r="G18" s="33">
        <f t="shared" si="3"/>
        <v>4083974.0479079927</v>
      </c>
      <c r="H18" s="33">
        <f t="shared" si="3"/>
        <v>5944773.8041959321</v>
      </c>
      <c r="I18" s="33">
        <f t="shared" si="3"/>
        <v>8029357.2658491209</v>
      </c>
      <c r="J18" s="33">
        <f t="shared" si="3"/>
        <v>10320335.659548998</v>
      </c>
      <c r="K18" s="33">
        <f t="shared" si="3"/>
        <v>12453424.94144031</v>
      </c>
    </row>
    <row r="19" spans="1:13" x14ac:dyDescent="0.6">
      <c r="A19" s="23"/>
      <c r="B19" s="24" t="s">
        <v>132</v>
      </c>
      <c r="C19" s="70">
        <f>'Ann 4'!C38</f>
        <v>59669.346153846185</v>
      </c>
      <c r="D19" s="70">
        <f>'Ann 4'!D38</f>
        <v>816328.50115385023</v>
      </c>
      <c r="E19" s="33">
        <f>'Ann 4'!E38</f>
        <v>1073871.831415381</v>
      </c>
      <c r="F19" s="33">
        <f>'Ann 4'!F38</f>
        <v>1314104.3691849154</v>
      </c>
      <c r="G19" s="33">
        <f>'Ann 4'!G38</f>
        <v>1860799.7562879394</v>
      </c>
      <c r="H19" s="33">
        <f>'Ann 4'!H38</f>
        <v>2084583.4616531893</v>
      </c>
      <c r="I19" s="33">
        <f>'Ann 4'!I38</f>
        <v>2290978.393699876</v>
      </c>
      <c r="J19" s="33">
        <f>'Ann 4'!J38</f>
        <v>2133089.2818913125</v>
      </c>
      <c r="K19" s="33">
        <f>'Ann 4'!K38</f>
        <v>2048864.1248547141</v>
      </c>
    </row>
    <row r="20" spans="1:13" x14ac:dyDescent="0.6">
      <c r="A20" s="23"/>
      <c r="B20" s="24" t="s">
        <v>133</v>
      </c>
      <c r="C20" s="70">
        <v>0</v>
      </c>
      <c r="D20" s="70">
        <v>0</v>
      </c>
      <c r="E20" s="33">
        <v>0</v>
      </c>
      <c r="F20" s="33">
        <v>0</v>
      </c>
      <c r="G20" s="33">
        <v>0</v>
      </c>
      <c r="H20" s="33">
        <v>0</v>
      </c>
      <c r="I20" s="33">
        <v>0</v>
      </c>
      <c r="J20" s="33">
        <v>0</v>
      </c>
      <c r="K20" s="33">
        <v>0</v>
      </c>
    </row>
    <row r="21" spans="1:13" x14ac:dyDescent="0.6">
      <c r="A21" s="23"/>
      <c r="B21" s="24" t="s">
        <v>134</v>
      </c>
      <c r="C21" s="70">
        <f>C18+C19</f>
        <v>879669.34615384624</v>
      </c>
      <c r="D21" s="70">
        <f t="shared" ref="D21:K21" si="4">D18+D19</f>
        <v>1695997.8473076965</v>
      </c>
      <c r="E21" s="33">
        <f t="shared" si="4"/>
        <v>2769869.6787230773</v>
      </c>
      <c r="F21" s="33">
        <f t="shared" si="4"/>
        <v>4083974.0479079927</v>
      </c>
      <c r="G21" s="33">
        <f t="shared" si="4"/>
        <v>5944773.8041959321</v>
      </c>
      <c r="H21" s="33">
        <f t="shared" si="4"/>
        <v>8029357.2658491209</v>
      </c>
      <c r="I21" s="33">
        <f t="shared" si="4"/>
        <v>10320335.659548998</v>
      </c>
      <c r="J21" s="33">
        <f t="shared" si="4"/>
        <v>12453424.94144031</v>
      </c>
      <c r="K21" s="33">
        <f t="shared" si="4"/>
        <v>14502289.066295024</v>
      </c>
    </row>
    <row r="22" spans="1:13" x14ac:dyDescent="0.6">
      <c r="A22" s="23">
        <v>2</v>
      </c>
      <c r="B22" s="24" t="s">
        <v>135</v>
      </c>
      <c r="C22" s="70">
        <f>'Ann 13'!C13*100000</f>
        <v>4966153.846153846</v>
      </c>
      <c r="D22" s="70">
        <f>'Ann 13'!C17*100000</f>
        <v>4138461.5384615371</v>
      </c>
      <c r="E22" s="70">
        <f>'Ann 13'!C21*100000</f>
        <v>3310769.2307692291</v>
      </c>
      <c r="F22" s="70">
        <f>'Ann 13'!C25*100000</f>
        <v>2483076.9230769207</v>
      </c>
      <c r="G22" s="33">
        <f>('Ann 13'!C28-'Ann 13'!D28)*100000</f>
        <v>1655384.6153846122</v>
      </c>
      <c r="H22" s="33">
        <f>('Ann 13'!C32-'Ann 13'!D32)*100000</f>
        <v>827692.30769230472</v>
      </c>
      <c r="I22" s="33">
        <v>0</v>
      </c>
      <c r="J22" s="33">
        <v>0</v>
      </c>
      <c r="K22" s="33">
        <v>0</v>
      </c>
    </row>
    <row r="23" spans="1:13" x14ac:dyDescent="0.6">
      <c r="A23" s="23">
        <v>3</v>
      </c>
      <c r="B23" s="69" t="s">
        <v>169</v>
      </c>
      <c r="C23" s="70">
        <f>'Ann 2'!$C$7*100000</f>
        <v>2000000</v>
      </c>
      <c r="D23" s="70">
        <f>'Ann 2'!$C$7*100000</f>
        <v>2000000</v>
      </c>
      <c r="E23" s="70">
        <f>'Ann 2'!$C$7*100000</f>
        <v>2000000</v>
      </c>
      <c r="F23" s="70">
        <f>'Ann 2'!$C$7*100000</f>
        <v>2000000</v>
      </c>
      <c r="G23" s="70">
        <f>'Ann 2'!$C$7*100000</f>
        <v>2000000</v>
      </c>
      <c r="H23" s="70">
        <f>'Ann 2'!$C$7*100000</f>
        <v>2000000</v>
      </c>
      <c r="I23" s="70">
        <f>'Ann 2'!$C$7*100000</f>
        <v>2000000</v>
      </c>
      <c r="J23" s="70">
        <f>'Ann 2'!$C$7*100000</f>
        <v>2000000</v>
      </c>
      <c r="K23" s="70">
        <f>'Ann 2'!$C$7*100000</f>
        <v>2000000</v>
      </c>
    </row>
    <row r="24" spans="1:13" x14ac:dyDescent="0.6">
      <c r="A24" s="23">
        <v>4</v>
      </c>
      <c r="B24" s="69" t="s">
        <v>164</v>
      </c>
      <c r="C24" s="70">
        <f>'Ann 4'!C7*60/300</f>
        <v>45500000</v>
      </c>
      <c r="D24" s="70">
        <f>'Ann 4'!D7*60/360</f>
        <v>42656250</v>
      </c>
      <c r="E24" s="70">
        <f>'Ann 4'!E7*60/360</f>
        <v>45500000</v>
      </c>
      <c r="F24" s="70">
        <f>'Ann 4'!F7*60/360</f>
        <v>48343750</v>
      </c>
      <c r="G24" s="70">
        <f>'Ann 4'!G7*60/360</f>
        <v>51187500</v>
      </c>
      <c r="H24" s="70">
        <f>'Ann 4'!H7*60/360</f>
        <v>54031250</v>
      </c>
      <c r="I24" s="70">
        <f>'Ann 4'!I7*60/360</f>
        <v>56875000</v>
      </c>
      <c r="J24" s="70">
        <f>'Ann 4'!J7*60/360</f>
        <v>56875000</v>
      </c>
      <c r="K24" s="70">
        <f>'Ann 4'!K7*60/360</f>
        <v>56875000</v>
      </c>
    </row>
    <row r="25" spans="1:13" x14ac:dyDescent="0.6">
      <c r="A25" s="23"/>
      <c r="B25" s="24" t="s">
        <v>136</v>
      </c>
      <c r="C25" s="67">
        <f t="shared" ref="C25:K25" si="5">SUM(C21:C24)</f>
        <v>53345823.192307696</v>
      </c>
      <c r="D25" s="67">
        <f t="shared" si="5"/>
        <v>50490709.385769233</v>
      </c>
      <c r="E25" s="67">
        <f t="shared" si="5"/>
        <v>53580638.909492306</v>
      </c>
      <c r="F25" s="67">
        <f t="shared" si="5"/>
        <v>56910800.970984913</v>
      </c>
      <c r="G25" s="67">
        <f t="shared" si="5"/>
        <v>60787658.419580549</v>
      </c>
      <c r="H25" s="67">
        <f t="shared" si="5"/>
        <v>64888299.573541425</v>
      </c>
      <c r="I25" s="67">
        <f t="shared" si="5"/>
        <v>69195335.659548998</v>
      </c>
      <c r="J25" s="67">
        <f t="shared" si="5"/>
        <v>71328424.941440314</v>
      </c>
      <c r="K25" s="67">
        <f t="shared" si="5"/>
        <v>73377289.066295028</v>
      </c>
    </row>
    <row r="26" spans="1:13" x14ac:dyDescent="0.6">
      <c r="A26" s="23"/>
      <c r="B26" s="24"/>
      <c r="C26" s="67"/>
      <c r="D26" s="67"/>
      <c r="E26" s="67"/>
      <c r="F26" s="67"/>
      <c r="G26" s="67"/>
      <c r="H26" s="67"/>
      <c r="I26" s="67"/>
      <c r="J26" s="67"/>
      <c r="K26" s="67"/>
      <c r="L26" s="73"/>
      <c r="M26" s="24"/>
    </row>
    <row r="27" spans="1:13" x14ac:dyDescent="0.6">
      <c r="A27" s="75"/>
      <c r="B27" s="76" t="s">
        <v>138</v>
      </c>
      <c r="C27" s="77"/>
      <c r="D27" s="77"/>
      <c r="E27" s="78"/>
      <c r="F27" s="78"/>
      <c r="G27" s="78"/>
      <c r="H27" s="78"/>
      <c r="I27" s="78"/>
      <c r="J27" s="78"/>
      <c r="K27" s="78"/>
    </row>
    <row r="28" spans="1:13" x14ac:dyDescent="0.6">
      <c r="A28" s="23"/>
      <c r="B28" s="24" t="s">
        <v>139</v>
      </c>
      <c r="C28" s="67">
        <f t="shared" ref="C28:K28" si="6">SUM(C13:C14)</f>
        <v>45365573.192307696</v>
      </c>
      <c r="D28" s="67">
        <f t="shared" si="6"/>
        <v>40422834.385769248</v>
      </c>
      <c r="E28" s="71">
        <f t="shared" si="6"/>
        <v>41134888.909492321</v>
      </c>
      <c r="F28" s="71">
        <f t="shared" si="6"/>
        <v>41811562.220984921</v>
      </c>
      <c r="G28" s="71">
        <f t="shared" si="6"/>
        <v>49535329.982080564</v>
      </c>
      <c r="H28" s="71">
        <f t="shared" si="6"/>
        <v>57606231.201666459</v>
      </c>
      <c r="I28" s="71">
        <f t="shared" si="6"/>
        <v>66016031.013455294</v>
      </c>
      <c r="J28" s="71">
        <f t="shared" si="6"/>
        <v>69386220.990260646</v>
      </c>
      <c r="K28" s="71">
        <f t="shared" si="6"/>
        <v>71691978.330992326</v>
      </c>
    </row>
    <row r="29" spans="1:13" x14ac:dyDescent="0.6">
      <c r="A29" s="23"/>
      <c r="B29" s="24" t="s">
        <v>140</v>
      </c>
      <c r="C29" s="67">
        <f>C24</f>
        <v>45500000</v>
      </c>
      <c r="D29" s="67">
        <f t="shared" ref="D29:K29" si="7">D24</f>
        <v>42656250</v>
      </c>
      <c r="E29" s="67">
        <f t="shared" si="7"/>
        <v>45500000</v>
      </c>
      <c r="F29" s="67">
        <f t="shared" si="7"/>
        <v>48343750</v>
      </c>
      <c r="G29" s="67">
        <f t="shared" si="7"/>
        <v>51187500</v>
      </c>
      <c r="H29" s="67">
        <f t="shared" si="7"/>
        <v>54031250</v>
      </c>
      <c r="I29" s="67">
        <f t="shared" si="7"/>
        <v>56875000</v>
      </c>
      <c r="J29" s="67">
        <f t="shared" si="7"/>
        <v>56875000</v>
      </c>
      <c r="K29" s="67">
        <f t="shared" si="7"/>
        <v>56875000</v>
      </c>
    </row>
    <row r="30" spans="1:13" x14ac:dyDescent="0.6">
      <c r="A30" s="23"/>
      <c r="B30" s="24" t="s">
        <v>145</v>
      </c>
      <c r="C30" s="9">
        <f>C28/C29</f>
        <v>0.99704556466610317</v>
      </c>
      <c r="D30" s="9">
        <f>D28/D29</f>
        <v>0.94764153871400436</v>
      </c>
      <c r="E30" s="10">
        <f t="shared" ref="E30:K30" si="8">E28/E29</f>
        <v>0.90406349251631479</v>
      </c>
      <c r="F30" s="10">
        <f t="shared" si="8"/>
        <v>0.86488040793246124</v>
      </c>
      <c r="G30" s="10">
        <f t="shared" si="8"/>
        <v>0.96772317425310017</v>
      </c>
      <c r="H30" s="10">
        <f t="shared" si="8"/>
        <v>1.0661650656178872</v>
      </c>
      <c r="I30" s="10">
        <f t="shared" si="8"/>
        <v>1.1607214244124007</v>
      </c>
      <c r="J30" s="10">
        <f t="shared" si="8"/>
        <v>1.2199775119166707</v>
      </c>
      <c r="K30" s="10">
        <f t="shared" si="8"/>
        <v>1.2605183003251399</v>
      </c>
    </row>
    <row r="31" spans="1:13" x14ac:dyDescent="0.6">
      <c r="A31" s="23"/>
      <c r="B31" s="69" t="s">
        <v>158</v>
      </c>
      <c r="C31" s="9"/>
      <c r="D31" s="9"/>
      <c r="E31" s="10"/>
      <c r="F31" s="10">
        <f>AVERAGE(C30:K30)</f>
        <v>1.0431929422615647</v>
      </c>
      <c r="G31" s="10"/>
      <c r="H31" s="10"/>
      <c r="I31" s="10"/>
      <c r="J31" s="10"/>
      <c r="K31" s="10"/>
    </row>
    <row r="32" spans="1:13" x14ac:dyDescent="0.6">
      <c r="A32" s="23"/>
      <c r="B32" s="24"/>
      <c r="C32" s="9"/>
      <c r="D32" s="9"/>
      <c r="E32" s="10"/>
      <c r="F32" s="10"/>
      <c r="G32" s="10"/>
      <c r="H32" s="10"/>
      <c r="I32" s="10"/>
      <c r="J32" s="10"/>
      <c r="K32" s="10"/>
    </row>
    <row r="33" spans="1:11" x14ac:dyDescent="0.6">
      <c r="A33" s="75"/>
      <c r="B33" s="76" t="s">
        <v>142</v>
      </c>
      <c r="C33" s="77"/>
      <c r="D33" s="77"/>
      <c r="E33" s="78"/>
      <c r="F33" s="78"/>
      <c r="G33" s="78"/>
      <c r="H33" s="78"/>
      <c r="I33" s="78"/>
      <c r="J33" s="78"/>
      <c r="K33" s="78"/>
    </row>
    <row r="34" spans="1:11" x14ac:dyDescent="0.6">
      <c r="A34" s="23"/>
      <c r="B34" s="24" t="s">
        <v>143</v>
      </c>
      <c r="C34" s="67">
        <f>C22+C23</f>
        <v>6966153.846153846</v>
      </c>
      <c r="D34" s="67">
        <f t="shared" ref="D34:K34" si="9">D22+D23</f>
        <v>6138461.5384615371</v>
      </c>
      <c r="E34" s="67">
        <f t="shared" si="9"/>
        <v>5310769.2307692291</v>
      </c>
      <c r="F34" s="67">
        <f t="shared" si="9"/>
        <v>4483076.9230769202</v>
      </c>
      <c r="G34" s="67">
        <f t="shared" si="9"/>
        <v>3655384.6153846122</v>
      </c>
      <c r="H34" s="67">
        <f t="shared" si="9"/>
        <v>2827692.3076923047</v>
      </c>
      <c r="I34" s="67">
        <f t="shared" si="9"/>
        <v>2000000</v>
      </c>
      <c r="J34" s="67">
        <f t="shared" si="9"/>
        <v>2000000</v>
      </c>
      <c r="K34" s="67">
        <f t="shared" si="9"/>
        <v>2000000</v>
      </c>
    </row>
    <row r="35" spans="1:11" x14ac:dyDescent="0.6">
      <c r="A35" s="23"/>
      <c r="B35" s="24" t="s">
        <v>144</v>
      </c>
      <c r="C35" s="67">
        <f t="shared" ref="C35:K35" si="10">C21</f>
        <v>879669.34615384624</v>
      </c>
      <c r="D35" s="67">
        <f t="shared" si="10"/>
        <v>1695997.8473076965</v>
      </c>
      <c r="E35" s="71">
        <f t="shared" si="10"/>
        <v>2769869.6787230773</v>
      </c>
      <c r="F35" s="71">
        <f t="shared" si="10"/>
        <v>4083974.0479079927</v>
      </c>
      <c r="G35" s="71">
        <f t="shared" si="10"/>
        <v>5944773.8041959321</v>
      </c>
      <c r="H35" s="71">
        <f t="shared" si="10"/>
        <v>8029357.2658491209</v>
      </c>
      <c r="I35" s="71">
        <f t="shared" si="10"/>
        <v>10320335.659548998</v>
      </c>
      <c r="J35" s="71">
        <f t="shared" si="10"/>
        <v>12453424.94144031</v>
      </c>
      <c r="K35" s="71">
        <f t="shared" si="10"/>
        <v>14502289.066295024</v>
      </c>
    </row>
    <row r="36" spans="1:11" x14ac:dyDescent="0.6">
      <c r="A36" s="23"/>
      <c r="B36" s="24" t="s">
        <v>145</v>
      </c>
      <c r="C36" s="9">
        <f>C34/C35</f>
        <v>7.9190594472931979</v>
      </c>
      <c r="D36" s="9">
        <f t="shared" ref="D36:K36" si="11">D34/D35</f>
        <v>3.6193805011050033</v>
      </c>
      <c r="E36" s="10">
        <f t="shared" si="11"/>
        <v>1.9173354152956099</v>
      </c>
      <c r="F36" s="10">
        <f t="shared" si="11"/>
        <v>1.0977241457676175</v>
      </c>
      <c r="G36" s="10">
        <f t="shared" si="11"/>
        <v>0.61489044592488507</v>
      </c>
      <c r="H36" s="10">
        <f t="shared" si="11"/>
        <v>0.35216919786583573</v>
      </c>
      <c r="I36" s="10">
        <f t="shared" si="11"/>
        <v>0.19379214649375084</v>
      </c>
      <c r="J36" s="10">
        <f t="shared" si="11"/>
        <v>0.16059839035482945</v>
      </c>
      <c r="K36" s="10">
        <f t="shared" si="11"/>
        <v>0.13790926321060779</v>
      </c>
    </row>
    <row r="37" spans="1:11" x14ac:dyDescent="0.6">
      <c r="A37" s="23"/>
      <c r="B37" s="69" t="s">
        <v>158</v>
      </c>
      <c r="C37" s="9"/>
      <c r="D37" s="9"/>
      <c r="E37" s="10"/>
      <c r="F37" s="10">
        <f>AVERAGE(C36:K36)</f>
        <v>1.7792065503679264</v>
      </c>
      <c r="G37" s="10"/>
      <c r="H37" s="10"/>
      <c r="I37" s="71"/>
      <c r="J37" s="71"/>
      <c r="K37" s="71"/>
    </row>
    <row r="38" spans="1:11" x14ac:dyDescent="0.6">
      <c r="A38" s="23"/>
      <c r="B38" s="24"/>
      <c r="C38" s="9"/>
      <c r="D38" s="9"/>
      <c r="E38" s="10"/>
      <c r="F38" s="10"/>
      <c r="G38" s="10"/>
      <c r="H38" s="10"/>
      <c r="I38" s="71"/>
      <c r="J38" s="71"/>
      <c r="K38" s="71"/>
    </row>
    <row r="39" spans="1:11" x14ac:dyDescent="0.6">
      <c r="A39" s="75"/>
      <c r="B39" s="76" t="s">
        <v>159</v>
      </c>
      <c r="C39" s="77"/>
      <c r="D39" s="77"/>
      <c r="E39" s="78"/>
      <c r="F39" s="78"/>
      <c r="G39" s="78"/>
      <c r="H39" s="78"/>
      <c r="I39" s="79"/>
      <c r="J39" s="79"/>
      <c r="K39" s="79"/>
    </row>
    <row r="40" spans="1:11" x14ac:dyDescent="0.6">
      <c r="A40" s="23"/>
      <c r="B40" s="69" t="s">
        <v>160</v>
      </c>
      <c r="C40" s="67">
        <f t="shared" ref="C40:K40" si="12">C11</f>
        <v>5350000</v>
      </c>
      <c r="D40" s="67">
        <f t="shared" si="12"/>
        <v>4619500</v>
      </c>
      <c r="E40" s="67">
        <f t="shared" si="12"/>
        <v>3991375</v>
      </c>
      <c r="F40" s="67">
        <f t="shared" si="12"/>
        <v>3450988.75</v>
      </c>
      <c r="G40" s="67">
        <f t="shared" si="12"/>
        <v>2985828.4375</v>
      </c>
      <c r="H40" s="67">
        <f t="shared" si="12"/>
        <v>2585193.3718750002</v>
      </c>
      <c r="I40" s="67">
        <f t="shared" si="12"/>
        <v>2239929.6460937504</v>
      </c>
      <c r="J40" s="67">
        <f t="shared" si="12"/>
        <v>1942203.9511796879</v>
      </c>
      <c r="K40" s="67">
        <f t="shared" si="12"/>
        <v>1685310.7353027347</v>
      </c>
    </row>
    <row r="41" spans="1:11" x14ac:dyDescent="0.6">
      <c r="A41" s="23"/>
      <c r="B41" s="69" t="s">
        <v>143</v>
      </c>
      <c r="C41" s="67">
        <f t="shared" ref="C41:K41" si="13">C22+C23</f>
        <v>6966153.846153846</v>
      </c>
      <c r="D41" s="67">
        <f t="shared" si="13"/>
        <v>6138461.5384615371</v>
      </c>
      <c r="E41" s="67">
        <f t="shared" si="13"/>
        <v>5310769.2307692291</v>
      </c>
      <c r="F41" s="67">
        <f t="shared" si="13"/>
        <v>4483076.9230769202</v>
      </c>
      <c r="G41" s="67">
        <f t="shared" si="13"/>
        <v>3655384.6153846122</v>
      </c>
      <c r="H41" s="67">
        <f t="shared" si="13"/>
        <v>2827692.3076923047</v>
      </c>
      <c r="I41" s="67">
        <f t="shared" si="13"/>
        <v>2000000</v>
      </c>
      <c r="J41" s="67">
        <f t="shared" si="13"/>
        <v>2000000</v>
      </c>
      <c r="K41" s="67">
        <f t="shared" si="13"/>
        <v>2000000</v>
      </c>
    </row>
    <row r="42" spans="1:11" x14ac:dyDescent="0.6">
      <c r="A42" s="23"/>
      <c r="B42" s="69" t="s">
        <v>154</v>
      </c>
      <c r="C42" s="9">
        <f>C40/C41</f>
        <v>0.76799911660777387</v>
      </c>
      <c r="D42" s="9">
        <f t="shared" ref="D42:H42" si="14">D40/D41</f>
        <v>0.75255012531328336</v>
      </c>
      <c r="E42" s="9">
        <f t="shared" si="14"/>
        <v>0.75156250000000024</v>
      </c>
      <c r="F42" s="9">
        <f t="shared" si="14"/>
        <v>0.76978129289636288</v>
      </c>
      <c r="G42" s="9">
        <f t="shared" si="14"/>
        <v>0.81683017019149906</v>
      </c>
      <c r="H42" s="9">
        <f t="shared" si="14"/>
        <v>0.91424139919409786</v>
      </c>
      <c r="I42" s="67">
        <v>0</v>
      </c>
      <c r="J42" s="67">
        <v>0</v>
      </c>
      <c r="K42" s="67">
        <v>0</v>
      </c>
    </row>
    <row r="43" spans="1:11" x14ac:dyDescent="0.6">
      <c r="A43" s="23"/>
      <c r="B43" s="69"/>
      <c r="C43" s="9"/>
      <c r="D43" s="9"/>
      <c r="E43" s="10"/>
      <c r="F43" s="10">
        <f>AVERAGE(C42:K42)</f>
        <v>0.53032940046700194</v>
      </c>
      <c r="G43" s="10"/>
      <c r="H43" s="10"/>
      <c r="I43" s="10"/>
      <c r="J43" s="10"/>
      <c r="K43" s="10"/>
    </row>
    <row r="44" spans="1:11" x14ac:dyDescent="0.6">
      <c r="A44" s="23"/>
      <c r="B44" s="24"/>
      <c r="C44" s="9"/>
      <c r="D44" s="9"/>
      <c r="E44" s="10"/>
      <c r="F44" s="10"/>
      <c r="G44" s="10"/>
      <c r="H44" s="10"/>
      <c r="I44" s="71"/>
      <c r="J44" s="71"/>
      <c r="K44" s="71"/>
    </row>
    <row r="45" spans="1:11" x14ac:dyDescent="0.6">
      <c r="A45" s="75"/>
      <c r="B45" s="76" t="s">
        <v>151</v>
      </c>
      <c r="C45" s="77"/>
      <c r="D45" s="77"/>
      <c r="E45" s="78"/>
      <c r="F45" s="78"/>
      <c r="G45" s="78"/>
      <c r="H45" s="78"/>
      <c r="I45" s="79"/>
      <c r="J45" s="79"/>
      <c r="K45" s="79"/>
    </row>
    <row r="46" spans="1:11" x14ac:dyDescent="0.6">
      <c r="A46" s="23"/>
      <c r="B46" s="24" t="s">
        <v>152</v>
      </c>
      <c r="C46" s="70">
        <f>'Ann 4'!C29</f>
        <v>519696.15384615381</v>
      </c>
      <c r="D46" s="70">
        <f>'Ann 4'!D29</f>
        <v>479346.15384615376</v>
      </c>
      <c r="E46" s="70">
        <f>'Ann 4'!E29</f>
        <v>429684.61538461532</v>
      </c>
      <c r="F46" s="70">
        <f>'Ann 4'!F29</f>
        <v>380023.07692307676</v>
      </c>
      <c r="G46" s="70">
        <f>'Ann 4'!G29</f>
        <v>330361.53846153832</v>
      </c>
      <c r="H46" s="70">
        <f>'Ann 4'!H29</f>
        <v>280699.99999999983</v>
      </c>
      <c r="I46" s="70">
        <f>'Ann 4'!I29</f>
        <v>231038.46153846136</v>
      </c>
      <c r="J46" s="70">
        <f>'Ann 4'!J29</f>
        <v>200000</v>
      </c>
      <c r="K46" s="70">
        <f>'Ann 4'!K29</f>
        <v>200000</v>
      </c>
    </row>
    <row r="47" spans="1:11" x14ac:dyDescent="0.6">
      <c r="A47" s="23"/>
      <c r="B47" s="24" t="s">
        <v>155</v>
      </c>
      <c r="C47" s="70">
        <f>(SUM('Ann 13'!D9:D12)*100000)+('Ann 1'!$C$25*100000)</f>
        <v>2413846.153846154</v>
      </c>
      <c r="D47" s="70">
        <f>(SUM('Ann 13'!D13:D16)*100000)+('Ann 1'!$C$25*100000)</f>
        <v>2827692.3076923075</v>
      </c>
      <c r="E47" s="70">
        <f>(SUM('Ann 13'!D17:D20)*100000)+('Ann 1'!$C$25*100000)</f>
        <v>2827692.3076923075</v>
      </c>
      <c r="F47" s="70">
        <f>(SUM('Ann 13'!D21:D24)*100000)+('Ann 1'!$C$25*100000)</f>
        <v>2827692.3076923075</v>
      </c>
      <c r="G47" s="70">
        <f>(SUM('Ann 13'!D25:D28)*100000)+('Ann 1'!$C$25*100000)</f>
        <v>2827692.3076923075</v>
      </c>
      <c r="H47" s="70">
        <f>(SUM('Ann 13'!D29:D32)*100000)+('Ann 1'!$C$25*100000)</f>
        <v>2827692.3076923075</v>
      </c>
      <c r="I47" s="70">
        <f>(SUM('Ann 13'!D33:D36)*100000)+('Ann 1'!$C$25*100000)</f>
        <v>2827692.3076923052</v>
      </c>
      <c r="J47" s="70">
        <f>(SUM('Ann 13'!D37:D38)*100000)+('Ann 1'!$C$25*100000)</f>
        <v>2000000</v>
      </c>
      <c r="K47" s="70">
        <f>(SUM('Ann 13'!D39:D42)*100000)+('Ann 1'!$C$25*100000)</f>
        <v>2000000</v>
      </c>
    </row>
    <row r="48" spans="1:11" x14ac:dyDescent="0.6">
      <c r="A48" s="23"/>
      <c r="B48" s="24" t="s">
        <v>8</v>
      </c>
      <c r="C48" s="70">
        <f>SUM(C46:C47)</f>
        <v>2933542.307692308</v>
      </c>
      <c r="D48" s="70">
        <f t="shared" ref="D48:K48" si="15">SUM(D46:D47)</f>
        <v>3307038.461538461</v>
      </c>
      <c r="E48" s="33">
        <f t="shared" si="15"/>
        <v>3257376.923076923</v>
      </c>
      <c r="F48" s="33">
        <f t="shared" si="15"/>
        <v>3207715.384615384</v>
      </c>
      <c r="G48" s="33">
        <f t="shared" si="15"/>
        <v>3158053.846153846</v>
      </c>
      <c r="H48" s="33">
        <f t="shared" si="15"/>
        <v>3108392.3076923075</v>
      </c>
      <c r="I48" s="33">
        <f t="shared" si="15"/>
        <v>3058730.7692307667</v>
      </c>
      <c r="J48" s="33">
        <f t="shared" si="15"/>
        <v>2200000</v>
      </c>
      <c r="K48" s="33">
        <f t="shared" si="15"/>
        <v>2200000</v>
      </c>
    </row>
    <row r="49" spans="1:11" x14ac:dyDescent="0.6">
      <c r="A49" s="23"/>
      <c r="B49" s="24" t="s">
        <v>153</v>
      </c>
      <c r="C49" s="70">
        <f>'Ann 4'!C24</f>
        <v>1540180</v>
      </c>
      <c r="D49" s="70">
        <f>'Ann 4'!D24</f>
        <v>3542213.3000000119</v>
      </c>
      <c r="E49" s="33">
        <f>'Ann 4'!E24</f>
        <v>4126014.84799999</v>
      </c>
      <c r="F49" s="33">
        <f>'Ann 4'!F24</f>
        <v>4674993.2388799787</v>
      </c>
      <c r="G49" s="33">
        <f>'Ann 4'!G24</f>
        <v>6112092.5832127929</v>
      </c>
      <c r="H49" s="33">
        <f>'Ann 4'!H24</f>
        <v>6637287.8132055402</v>
      </c>
      <c r="I49" s="33">
        <f>'Ann 4'!I24</f>
        <v>7121954.7407479286</v>
      </c>
      <c r="J49" s="33">
        <f>'Ann 4'!J24</f>
        <v>6592266.500317812</v>
      </c>
      <c r="K49" s="33">
        <f>'Ann 4'!K24</f>
        <v>6310790.7154618502</v>
      </c>
    </row>
    <row r="50" spans="1:11" x14ac:dyDescent="0.6">
      <c r="A50" s="46"/>
      <c r="B50" s="47" t="s">
        <v>154</v>
      </c>
      <c r="C50" s="16">
        <f>C49/C48</f>
        <v>0.52502396026856468</v>
      </c>
      <c r="D50" s="16">
        <f t="shared" ref="D50:I50" si="16">D49/D48</f>
        <v>1.0711134270727973</v>
      </c>
      <c r="E50" s="74">
        <f t="shared" si="16"/>
        <v>1.2666679188303913</v>
      </c>
      <c r="F50" s="74">
        <f t="shared" si="16"/>
        <v>1.4574214599280997</v>
      </c>
      <c r="G50" s="74">
        <f t="shared" si="16"/>
        <v>1.9353984703765053</v>
      </c>
      <c r="H50" s="74">
        <f t="shared" si="16"/>
        <v>2.1352799634654578</v>
      </c>
      <c r="I50" s="74">
        <f t="shared" si="16"/>
        <v>2.3284019673751843</v>
      </c>
      <c r="J50" s="74">
        <v>0</v>
      </c>
      <c r="K50" s="74">
        <v>0</v>
      </c>
    </row>
    <row r="51" spans="1:11" x14ac:dyDescent="0.6">
      <c r="A51" s="24"/>
      <c r="B51" s="69" t="s">
        <v>158</v>
      </c>
      <c r="C51" s="24"/>
      <c r="D51" s="24"/>
      <c r="E51" s="24"/>
      <c r="F51" s="24">
        <f>AVERAGE(C50:G50)</f>
        <v>1.2511250472952717</v>
      </c>
      <c r="G51" s="24"/>
      <c r="H51" s="24"/>
      <c r="I51" s="24"/>
      <c r="J51" s="24"/>
      <c r="K51" s="24"/>
    </row>
    <row r="53" spans="1:11" x14ac:dyDescent="0.6">
      <c r="A53" s="4" t="s">
        <v>248</v>
      </c>
    </row>
    <row r="54" spans="1:11" x14ac:dyDescent="0.6">
      <c r="A54" s="4" t="s">
        <v>141</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heetViews>
  <sheetFormatPr defaultRowHeight="17" x14ac:dyDescent="0.6"/>
  <cols>
    <col min="1" max="1" width="5.6328125" style="4" bestFit="1" customWidth="1"/>
    <col min="2" max="2" width="26.08984375" style="4" bestFit="1" customWidth="1"/>
    <col min="3" max="3" width="8.7265625" style="4"/>
    <col min="4" max="4" width="25" style="4" bestFit="1" customWidth="1"/>
    <col min="5" max="5" width="12.54296875" style="4" bestFit="1" customWidth="1"/>
    <col min="6" max="16384" width="8.7265625" style="4"/>
  </cols>
  <sheetData>
    <row r="1" spans="1:5" x14ac:dyDescent="0.6">
      <c r="A1" s="3" t="s">
        <v>268</v>
      </c>
    </row>
    <row r="3" spans="1:5" x14ac:dyDescent="0.6">
      <c r="A3" s="80" t="s">
        <v>162</v>
      </c>
    </row>
    <row r="5" spans="1:5" x14ac:dyDescent="0.6">
      <c r="A5" s="21" t="s">
        <v>52</v>
      </c>
      <c r="B5" s="21" t="s">
        <v>53</v>
      </c>
      <c r="C5" s="21" t="s">
        <v>54</v>
      </c>
      <c r="D5" s="21" t="s">
        <v>55</v>
      </c>
      <c r="E5" s="21" t="s">
        <v>247</v>
      </c>
    </row>
    <row r="6" spans="1:5" x14ac:dyDescent="0.6">
      <c r="A6" s="50" t="s">
        <v>56</v>
      </c>
      <c r="B6" s="50" t="s">
        <v>197</v>
      </c>
      <c r="C6" s="50">
        <v>2</v>
      </c>
      <c r="D6" s="49">
        <v>17000</v>
      </c>
      <c r="E6" s="49">
        <f>D6*C6*12</f>
        <v>408000</v>
      </c>
    </row>
    <row r="7" spans="1:5" x14ac:dyDescent="0.6">
      <c r="A7" s="5" t="s">
        <v>57</v>
      </c>
      <c r="B7" s="5" t="s">
        <v>60</v>
      </c>
      <c r="C7" s="5">
        <v>1</v>
      </c>
      <c r="D7" s="49">
        <v>29000</v>
      </c>
      <c r="E7" s="49">
        <f>D7*C7*12</f>
        <v>348000</v>
      </c>
    </row>
    <row r="8" spans="1:5" x14ac:dyDescent="0.6">
      <c r="A8" s="5" t="s">
        <v>61</v>
      </c>
      <c r="B8" s="5" t="s">
        <v>246</v>
      </c>
      <c r="C8" s="5">
        <v>3</v>
      </c>
      <c r="D8" s="49">
        <v>12000</v>
      </c>
      <c r="E8" s="49">
        <f>D8*C8*12</f>
        <v>432000</v>
      </c>
    </row>
    <row r="9" spans="1:5" x14ac:dyDescent="0.6">
      <c r="A9" s="5" t="s">
        <v>245</v>
      </c>
      <c r="B9" s="5" t="s">
        <v>163</v>
      </c>
      <c r="C9" s="5">
        <v>2</v>
      </c>
      <c r="D9" s="49">
        <v>9400</v>
      </c>
      <c r="E9" s="49">
        <f>D9*C9*12</f>
        <v>225600</v>
      </c>
    </row>
    <row r="10" spans="1:5" x14ac:dyDescent="0.6">
      <c r="A10" s="122" t="s">
        <v>8</v>
      </c>
      <c r="B10" s="122"/>
      <c r="C10" s="122"/>
      <c r="D10" s="122"/>
      <c r="E10" s="61">
        <f>SUM(E6:E9)</f>
        <v>1413600</v>
      </c>
    </row>
    <row r="11" spans="1:5" x14ac:dyDescent="0.6">
      <c r="A11" s="34"/>
      <c r="B11" s="36"/>
      <c r="C11" s="36"/>
      <c r="D11" s="36"/>
      <c r="E11" s="66"/>
    </row>
    <row r="12" spans="1:5" x14ac:dyDescent="0.6">
      <c r="A12" s="46" t="s">
        <v>256</v>
      </c>
      <c r="B12" s="47"/>
      <c r="C12" s="47"/>
      <c r="D12" s="47"/>
      <c r="E12" s="81">
        <f>E10*20%</f>
        <v>282720</v>
      </c>
    </row>
    <row r="13" spans="1:5" x14ac:dyDescent="0.6">
      <c r="A13" s="27" t="s">
        <v>8</v>
      </c>
      <c r="B13" s="28"/>
      <c r="C13" s="28"/>
      <c r="D13" s="28"/>
      <c r="E13" s="82">
        <f>SUM(E10:E12)</f>
        <v>1696320</v>
      </c>
    </row>
    <row r="15" spans="1:5" x14ac:dyDescent="0.6">
      <c r="A15" s="4" t="s">
        <v>58</v>
      </c>
      <c r="E15" s="48">
        <f>E13</f>
        <v>1696320</v>
      </c>
    </row>
    <row r="16" spans="1:5" x14ac:dyDescent="0.6">
      <c r="A16" s="4" t="s">
        <v>59</v>
      </c>
      <c r="E16" s="83">
        <v>0.06</v>
      </c>
    </row>
    <row r="17" spans="1:5" x14ac:dyDescent="0.6">
      <c r="A17" s="4" t="s">
        <v>165</v>
      </c>
      <c r="E17" s="4">
        <f>SUM(C6:C9)</f>
        <v>8</v>
      </c>
    </row>
  </sheetData>
  <mergeCells count="1">
    <mergeCell ref="A10:D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heetViews>
  <sheetFormatPr defaultRowHeight="17" x14ac:dyDescent="0.6"/>
  <cols>
    <col min="1" max="1" width="6.36328125" style="4" bestFit="1" customWidth="1"/>
    <col min="2" max="2" width="18.81640625" style="4" bestFit="1" customWidth="1"/>
    <col min="3" max="3" width="19.453125" style="4" bestFit="1" customWidth="1"/>
    <col min="4" max="4" width="18.08984375" style="4" bestFit="1" customWidth="1"/>
    <col min="5" max="5" width="14.453125" style="4" bestFit="1" customWidth="1"/>
    <col min="6" max="6" width="26.453125" style="4" bestFit="1" customWidth="1"/>
    <col min="7" max="16384" width="8.7265625" style="4"/>
  </cols>
  <sheetData>
    <row r="1" spans="1:6" x14ac:dyDescent="0.6">
      <c r="A1" s="3" t="s">
        <v>63</v>
      </c>
    </row>
    <row r="3" spans="1:6" x14ac:dyDescent="0.6">
      <c r="A3" s="80" t="s">
        <v>62</v>
      </c>
    </row>
    <row r="5" spans="1:6" x14ac:dyDescent="0.6">
      <c r="A5" s="21" t="s">
        <v>24</v>
      </c>
      <c r="B5" s="21" t="s">
        <v>3</v>
      </c>
      <c r="C5" s="21" t="s">
        <v>66</v>
      </c>
      <c r="D5" s="21" t="s">
        <v>11</v>
      </c>
      <c r="E5" s="21" t="s">
        <v>67</v>
      </c>
      <c r="F5" s="21" t="s">
        <v>68</v>
      </c>
    </row>
    <row r="6" spans="1:6" x14ac:dyDescent="0.6">
      <c r="A6" s="5" t="s">
        <v>56</v>
      </c>
      <c r="B6" s="5" t="s">
        <v>13</v>
      </c>
      <c r="C6" s="49">
        <f>'Ann 1'!C12*100000</f>
        <v>1600000</v>
      </c>
      <c r="D6" s="49">
        <f>('Ann 1'!C20+'Ann 1'!C37)*100000</f>
        <v>4600000</v>
      </c>
      <c r="E6" s="49">
        <v>0</v>
      </c>
      <c r="F6" s="5">
        <f>SUM(C6:E6)/100000</f>
        <v>62</v>
      </c>
    </row>
    <row r="7" spans="1:6" x14ac:dyDescent="0.6">
      <c r="A7" s="5" t="s">
        <v>57</v>
      </c>
      <c r="B7" s="5" t="s">
        <v>64</v>
      </c>
      <c r="C7" s="49">
        <v>0</v>
      </c>
      <c r="D7" s="49">
        <v>0</v>
      </c>
      <c r="E7" s="49">
        <v>0</v>
      </c>
      <c r="F7" s="49">
        <f>SUM(C7:E7)/100000</f>
        <v>0</v>
      </c>
    </row>
    <row r="8" spans="1:6" x14ac:dyDescent="0.6">
      <c r="A8" s="5" t="s">
        <v>61</v>
      </c>
      <c r="B8" s="5" t="s">
        <v>65</v>
      </c>
      <c r="C8" s="49">
        <v>0</v>
      </c>
      <c r="D8" s="49">
        <v>0</v>
      </c>
      <c r="E8" s="49">
        <v>0</v>
      </c>
      <c r="F8" s="49">
        <f>SUM(C8:E8)/100000</f>
        <v>0</v>
      </c>
    </row>
    <row r="9" spans="1:6" x14ac:dyDescent="0.6">
      <c r="A9" s="5"/>
      <c r="B9" s="122" t="s">
        <v>8</v>
      </c>
      <c r="C9" s="122"/>
      <c r="D9" s="122"/>
      <c r="E9" s="122"/>
      <c r="F9" s="5">
        <f>SUM(F6:F8)</f>
        <v>62</v>
      </c>
    </row>
    <row r="11" spans="1:6" x14ac:dyDescent="0.6">
      <c r="A11" s="5"/>
      <c r="B11" s="5" t="s">
        <v>69</v>
      </c>
      <c r="C11" s="51">
        <v>0.1</v>
      </c>
      <c r="D11" s="51">
        <v>0.15</v>
      </c>
      <c r="E11" s="51">
        <v>0.1</v>
      </c>
      <c r="F11" s="5" t="s">
        <v>196</v>
      </c>
    </row>
    <row r="12" spans="1:6" x14ac:dyDescent="0.6">
      <c r="A12" s="84" t="s">
        <v>70</v>
      </c>
      <c r="B12" s="85">
        <v>1</v>
      </c>
      <c r="C12" s="86">
        <f>C11*C6</f>
        <v>160000</v>
      </c>
      <c r="D12" s="86">
        <f>D11*D6</f>
        <v>690000</v>
      </c>
      <c r="E12" s="86">
        <f>E11*E6</f>
        <v>0</v>
      </c>
      <c r="F12" s="86">
        <f>SUM(C12:E12)</f>
        <v>850000</v>
      </c>
    </row>
    <row r="13" spans="1:6" x14ac:dyDescent="0.6">
      <c r="A13" s="84" t="s">
        <v>70</v>
      </c>
      <c r="B13" s="85">
        <v>2</v>
      </c>
      <c r="C13" s="86">
        <f>(C6-C12)*C11</f>
        <v>144000</v>
      </c>
      <c r="D13" s="86">
        <f>(D6-D12)*D11</f>
        <v>586500</v>
      </c>
      <c r="E13" s="86">
        <f>(E6-E12)*E11</f>
        <v>0</v>
      </c>
      <c r="F13" s="86">
        <f>SUM(C13:E13)</f>
        <v>730500</v>
      </c>
    </row>
    <row r="14" spans="1:6" x14ac:dyDescent="0.6">
      <c r="A14" s="84" t="s">
        <v>70</v>
      </c>
      <c r="B14" s="85">
        <v>3</v>
      </c>
      <c r="C14" s="86">
        <f>(C6-C12-C13)*C11</f>
        <v>129600</v>
      </c>
      <c r="D14" s="86">
        <f>(D6-D12-D13)*D11</f>
        <v>498525</v>
      </c>
      <c r="E14" s="86">
        <f>(E6-E12-E13)*E11</f>
        <v>0</v>
      </c>
      <c r="F14" s="86">
        <f t="shared" ref="F14:F20" si="0">SUM(C14:E14)</f>
        <v>628125</v>
      </c>
    </row>
    <row r="15" spans="1:6" x14ac:dyDescent="0.6">
      <c r="A15" s="84" t="s">
        <v>70</v>
      </c>
      <c r="B15" s="85">
        <v>4</v>
      </c>
      <c r="C15" s="86">
        <f>(C6-C12-C13-C14)*C11</f>
        <v>116640</v>
      </c>
      <c r="D15" s="86">
        <f>(D6-D12-D13-D14)*D11</f>
        <v>423746.25</v>
      </c>
      <c r="E15" s="86">
        <f>(E6-E12-E13-E14)*E11</f>
        <v>0</v>
      </c>
      <c r="F15" s="86">
        <f t="shared" si="0"/>
        <v>540386.25</v>
      </c>
    </row>
    <row r="16" spans="1:6" x14ac:dyDescent="0.6">
      <c r="A16" s="84" t="s">
        <v>70</v>
      </c>
      <c r="B16" s="85">
        <v>5</v>
      </c>
      <c r="C16" s="86">
        <f>(C6-C12-C13-C14-C15)*C11</f>
        <v>104976</v>
      </c>
      <c r="D16" s="86">
        <f>(D6-D12-D13-D14-D15)*D11</f>
        <v>360184.3125</v>
      </c>
      <c r="E16" s="86">
        <f>(E6-E12-E13-E14-E15)*E11</f>
        <v>0</v>
      </c>
      <c r="F16" s="86">
        <f t="shared" si="0"/>
        <v>465160.3125</v>
      </c>
    </row>
    <row r="17" spans="1:6" x14ac:dyDescent="0.6">
      <c r="A17" s="84" t="s">
        <v>70</v>
      </c>
      <c r="B17" s="85">
        <v>6</v>
      </c>
      <c r="C17" s="86">
        <f>(C6-C12-C13-C14-C15-C16)*C11</f>
        <v>94478.400000000009</v>
      </c>
      <c r="D17" s="86">
        <f>(D6-D12-D13-D14-D15-D16)*D11</f>
        <v>306156.66562499997</v>
      </c>
      <c r="E17" s="86">
        <f>(E6-E12-E13-E14-E15-E16)*E11</f>
        <v>0</v>
      </c>
      <c r="F17" s="86">
        <f t="shared" si="0"/>
        <v>400635.06562499999</v>
      </c>
    </row>
    <row r="18" spans="1:6" x14ac:dyDescent="0.6">
      <c r="A18" s="84" t="s">
        <v>70</v>
      </c>
      <c r="B18" s="85">
        <v>7</v>
      </c>
      <c r="C18" s="86">
        <f>(C6-C12-C13-C14-C15-C16-C17)*C11</f>
        <v>85030.56</v>
      </c>
      <c r="D18" s="86">
        <f>(D6-D12-D13-D14-D15-D16-D17)*D11</f>
        <v>260233.16578124999</v>
      </c>
      <c r="E18" s="86">
        <f>(E6-E12-E13-E14-E15-E16-E17)*E11</f>
        <v>0</v>
      </c>
      <c r="F18" s="86">
        <f t="shared" si="0"/>
        <v>345263.72578124999</v>
      </c>
    </row>
    <row r="19" spans="1:6" x14ac:dyDescent="0.6">
      <c r="A19" s="84" t="s">
        <v>70</v>
      </c>
      <c r="B19" s="85">
        <v>8</v>
      </c>
      <c r="C19" s="86">
        <f>(C6-C12-C13-C14-C15-C16-C17-C18)*C11</f>
        <v>76527.504000000001</v>
      </c>
      <c r="D19" s="86">
        <f>(D6-D12-D13-D14-D15-D16-D17-D18)*D11</f>
        <v>221198.19091406252</v>
      </c>
      <c r="E19" s="86">
        <f>(E6-E12-E13-E14-E15-E16-E17-E18)*E11</f>
        <v>0</v>
      </c>
      <c r="F19" s="86">
        <f t="shared" si="0"/>
        <v>297725.69491406251</v>
      </c>
    </row>
    <row r="20" spans="1:6" x14ac:dyDescent="0.6">
      <c r="A20" s="84" t="s">
        <v>70</v>
      </c>
      <c r="B20" s="85">
        <v>9</v>
      </c>
      <c r="C20" s="86">
        <f>(C6-C12-C13-C14-C15-C16-C17-C18-C19)*C11</f>
        <v>68874.753600000011</v>
      </c>
      <c r="D20" s="86">
        <f>(D6-D12-D13-D14-D15-D16-D17-D18-D19)*D11</f>
        <v>188018.46227695313</v>
      </c>
      <c r="E20" s="86">
        <f>(E6-E12-E13-E14-E15-E16-E17-E18-E19)*E11</f>
        <v>0</v>
      </c>
      <c r="F20" s="86">
        <f t="shared" si="0"/>
        <v>256893.21587695315</v>
      </c>
    </row>
    <row r="21" spans="1:6" x14ac:dyDescent="0.6">
      <c r="B21" s="17"/>
    </row>
    <row r="22" spans="1:6" x14ac:dyDescent="0.6">
      <c r="A22" s="87"/>
    </row>
  </sheetData>
  <mergeCells count="1">
    <mergeCell ref="B9:E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heetViews>
  <sheetFormatPr defaultRowHeight="17" x14ac:dyDescent="0.6"/>
  <cols>
    <col min="1" max="1" width="20.90625" style="4" customWidth="1"/>
    <col min="2" max="10" width="13.6328125" style="4" bestFit="1" customWidth="1"/>
    <col min="11" max="16384" width="8.7265625" style="4"/>
  </cols>
  <sheetData>
    <row r="1" spans="1:10" x14ac:dyDescent="0.6">
      <c r="A1" s="3" t="s">
        <v>112</v>
      </c>
    </row>
    <row r="3" spans="1:10" x14ac:dyDescent="0.6">
      <c r="A3" s="80" t="s">
        <v>113</v>
      </c>
    </row>
    <row r="5" spans="1:10" x14ac:dyDescent="0.6">
      <c r="A5" s="121" t="s">
        <v>3</v>
      </c>
      <c r="B5" s="121" t="s">
        <v>48</v>
      </c>
      <c r="C5" s="121"/>
      <c r="D5" s="121"/>
      <c r="E5" s="121"/>
      <c r="F5" s="121"/>
      <c r="G5" s="121"/>
      <c r="H5" s="121"/>
      <c r="I5" s="121"/>
      <c r="J5" s="121"/>
    </row>
    <row r="6" spans="1:10" x14ac:dyDescent="0.6">
      <c r="A6" s="121"/>
      <c r="B6" s="59" t="s">
        <v>39</v>
      </c>
      <c r="C6" s="59" t="s">
        <v>40</v>
      </c>
      <c r="D6" s="59" t="s">
        <v>41</v>
      </c>
      <c r="E6" s="59" t="s">
        <v>42</v>
      </c>
      <c r="F6" s="59" t="s">
        <v>43</v>
      </c>
      <c r="G6" s="59" t="s">
        <v>44</v>
      </c>
      <c r="H6" s="59" t="s">
        <v>45</v>
      </c>
      <c r="I6" s="59" t="s">
        <v>46</v>
      </c>
      <c r="J6" s="59" t="s">
        <v>47</v>
      </c>
    </row>
    <row r="7" spans="1:10" x14ac:dyDescent="0.6">
      <c r="A7" s="5" t="s">
        <v>114</v>
      </c>
      <c r="B7" s="49">
        <f>'Ann 4'!C31</f>
        <v>1020483.8461538462</v>
      </c>
      <c r="C7" s="49">
        <f>'Ann 4'!D31</f>
        <v>3062867.1461538579</v>
      </c>
      <c r="D7" s="49">
        <f>'Ann 4'!E31</f>
        <v>3696330.2326153745</v>
      </c>
      <c r="E7" s="49">
        <f>'Ann 4'!F31</f>
        <v>4294970.1619569017</v>
      </c>
      <c r="F7" s="49">
        <f>'Ann 4'!G31</f>
        <v>5781731.0447512548</v>
      </c>
      <c r="G7" s="49">
        <f>'Ann 4'!H31</f>
        <v>6356587.8132055402</v>
      </c>
      <c r="H7" s="49">
        <f>'Ann 4'!I31</f>
        <v>6890916.2792094676</v>
      </c>
      <c r="I7" s="49">
        <f>'Ann 4'!J31</f>
        <v>6392266.500317812</v>
      </c>
      <c r="J7" s="49">
        <f>'Ann 4'!K31</f>
        <v>6110790.7154618502</v>
      </c>
    </row>
    <row r="8" spans="1:10" x14ac:dyDescent="0.6">
      <c r="A8" s="5" t="s">
        <v>115</v>
      </c>
      <c r="B8" s="49">
        <v>0</v>
      </c>
      <c r="C8" s="49">
        <v>0</v>
      </c>
      <c r="D8" s="49">
        <v>0</v>
      </c>
      <c r="E8" s="49">
        <v>0</v>
      </c>
      <c r="F8" s="49">
        <v>0</v>
      </c>
      <c r="G8" s="49">
        <v>0</v>
      </c>
      <c r="H8" s="49">
        <v>0</v>
      </c>
      <c r="I8" s="49">
        <v>0</v>
      </c>
      <c r="J8" s="49">
        <v>0</v>
      </c>
    </row>
    <row r="9" spans="1:10" x14ac:dyDescent="0.6">
      <c r="A9" s="5" t="s">
        <v>116</v>
      </c>
      <c r="B9" s="49">
        <f>B7+B8</f>
        <v>1020483.8461538462</v>
      </c>
      <c r="C9" s="49">
        <f t="shared" ref="C9:J9" si="0">C7+C8</f>
        <v>3062867.1461538579</v>
      </c>
      <c r="D9" s="49">
        <f t="shared" si="0"/>
        <v>3696330.2326153745</v>
      </c>
      <c r="E9" s="49">
        <f t="shared" si="0"/>
        <v>4294970.1619569017</v>
      </c>
      <c r="F9" s="49">
        <f t="shared" si="0"/>
        <v>5781731.0447512548</v>
      </c>
      <c r="G9" s="49">
        <f t="shared" si="0"/>
        <v>6356587.8132055402</v>
      </c>
      <c r="H9" s="49">
        <f t="shared" si="0"/>
        <v>6890916.2792094676</v>
      </c>
      <c r="I9" s="49">
        <f t="shared" si="0"/>
        <v>6392266.500317812</v>
      </c>
      <c r="J9" s="49">
        <f t="shared" si="0"/>
        <v>6110790.7154618502</v>
      </c>
    </row>
    <row r="10" spans="1:10" x14ac:dyDescent="0.6">
      <c r="A10" s="5" t="s">
        <v>117</v>
      </c>
      <c r="B10" s="49">
        <f>SUM('Ann 9'!C12:E12)</f>
        <v>850000</v>
      </c>
      <c r="C10" s="49">
        <f>SUM('Ann 9'!C13:E13)</f>
        <v>730500</v>
      </c>
      <c r="D10" s="49">
        <f>SUM('Ann 9'!C14:E14)</f>
        <v>628125</v>
      </c>
      <c r="E10" s="49">
        <f>SUM('Ann 9'!C15:E15)</f>
        <v>540386.25</v>
      </c>
      <c r="F10" s="49">
        <f>SUM('Ann 9'!C16:E16)</f>
        <v>465160.3125</v>
      </c>
      <c r="G10" s="49">
        <f>SUM('Ann 9'!C17:E17)</f>
        <v>400635.06562499999</v>
      </c>
      <c r="H10" s="49">
        <f>SUM('Ann 9'!C18:E18)</f>
        <v>345263.72578124999</v>
      </c>
      <c r="I10" s="49">
        <f>SUM('Ann 9'!C19:E19)</f>
        <v>297725.69491406251</v>
      </c>
      <c r="J10" s="49">
        <f>SUM('Ann 9'!C20:E20)</f>
        <v>256893.21587695315</v>
      </c>
    </row>
    <row r="11" spans="1:10" x14ac:dyDescent="0.6">
      <c r="A11" s="5" t="s">
        <v>116</v>
      </c>
      <c r="B11" s="49">
        <f>B9-B10</f>
        <v>170483.84615384624</v>
      </c>
      <c r="C11" s="49">
        <f t="shared" ref="C11:J11" si="1">C9-C10</f>
        <v>2332367.1461538579</v>
      </c>
      <c r="D11" s="49">
        <f t="shared" si="1"/>
        <v>3068205.2326153745</v>
      </c>
      <c r="E11" s="49">
        <f t="shared" si="1"/>
        <v>3754583.9119569017</v>
      </c>
      <c r="F11" s="49">
        <f t="shared" si="1"/>
        <v>5316570.7322512548</v>
      </c>
      <c r="G11" s="49">
        <f t="shared" si="1"/>
        <v>5955952.7475805404</v>
      </c>
      <c r="H11" s="49">
        <f t="shared" si="1"/>
        <v>6545652.5534282178</v>
      </c>
      <c r="I11" s="49">
        <f t="shared" si="1"/>
        <v>6094540.8054037495</v>
      </c>
      <c r="J11" s="49">
        <f t="shared" si="1"/>
        <v>5853897.4995848974</v>
      </c>
    </row>
    <row r="12" spans="1:10" x14ac:dyDescent="0.6">
      <c r="A12" s="5" t="s">
        <v>118</v>
      </c>
      <c r="B12" s="88">
        <v>0</v>
      </c>
      <c r="C12" s="88">
        <v>0</v>
      </c>
      <c r="D12" s="88">
        <v>0</v>
      </c>
      <c r="E12" s="88">
        <v>0</v>
      </c>
      <c r="F12" s="88">
        <v>0</v>
      </c>
      <c r="G12" s="88">
        <v>0</v>
      </c>
      <c r="H12" s="88">
        <v>0</v>
      </c>
      <c r="I12" s="88">
        <v>0</v>
      </c>
      <c r="J12" s="88">
        <v>0</v>
      </c>
    </row>
    <row r="13" spans="1:10" x14ac:dyDescent="0.6">
      <c r="A13" s="5" t="s">
        <v>119</v>
      </c>
      <c r="B13" s="61">
        <f>B11</f>
        <v>170483.84615384624</v>
      </c>
      <c r="C13" s="61">
        <f t="shared" ref="C13:J13" si="2">C11</f>
        <v>2332367.1461538579</v>
      </c>
      <c r="D13" s="61">
        <f t="shared" si="2"/>
        <v>3068205.2326153745</v>
      </c>
      <c r="E13" s="61">
        <f t="shared" si="2"/>
        <v>3754583.9119569017</v>
      </c>
      <c r="F13" s="61">
        <f t="shared" si="2"/>
        <v>5316570.7322512548</v>
      </c>
      <c r="G13" s="61">
        <f t="shared" si="2"/>
        <v>5955952.7475805404</v>
      </c>
      <c r="H13" s="61">
        <f t="shared" si="2"/>
        <v>6545652.5534282178</v>
      </c>
      <c r="I13" s="61">
        <f t="shared" si="2"/>
        <v>6094540.8054037495</v>
      </c>
      <c r="J13" s="61">
        <f t="shared" si="2"/>
        <v>5853897.4995848974</v>
      </c>
    </row>
    <row r="14" spans="1:10" x14ac:dyDescent="0.6">
      <c r="A14" s="5" t="s">
        <v>120</v>
      </c>
      <c r="B14" s="61">
        <f>B13*30%</f>
        <v>51145.153846153873</v>
      </c>
      <c r="C14" s="61">
        <f t="shared" ref="C14:J14" si="3">C13*30%</f>
        <v>699710.14384615736</v>
      </c>
      <c r="D14" s="61">
        <f t="shared" si="3"/>
        <v>920461.56978461228</v>
      </c>
      <c r="E14" s="61">
        <f t="shared" si="3"/>
        <v>1126375.1735870705</v>
      </c>
      <c r="F14" s="61">
        <f t="shared" si="3"/>
        <v>1594971.2196753763</v>
      </c>
      <c r="G14" s="61">
        <f t="shared" si="3"/>
        <v>1786785.8242741621</v>
      </c>
      <c r="H14" s="61">
        <f t="shared" si="3"/>
        <v>1963695.7660284652</v>
      </c>
      <c r="I14" s="61">
        <f t="shared" si="3"/>
        <v>1828362.2416211248</v>
      </c>
      <c r="J14" s="61">
        <f t="shared" si="3"/>
        <v>1756169.2498754691</v>
      </c>
    </row>
  </sheetData>
  <mergeCells count="2">
    <mergeCell ref="B5:J5"/>
    <mergeCell ref="A5:A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Ann 1</vt:lpstr>
      <vt:lpstr>Ann 2</vt:lpstr>
      <vt:lpstr>Ann 3</vt:lpstr>
      <vt:lpstr>Ann 4</vt:lpstr>
      <vt:lpstr>Ann 5</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2021-11-12T11:13:01Z</cp:lastPrinted>
  <dcterms:created xsi:type="dcterms:W3CDTF">2021-07-04T07:21:16Z</dcterms:created>
  <dcterms:modified xsi:type="dcterms:W3CDTF">2021-11-12T11:13:04Z</dcterms:modified>
</cp:coreProperties>
</file>